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christiantaylor\Desktop\"/>
    </mc:Choice>
  </mc:AlternateContent>
  <xr:revisionPtr revIDLastSave="0" documentId="8_{19D7DC38-4C2F-4495-A3D6-79037CE2EB92}" xr6:coauthVersionLast="36" xr6:coauthVersionMax="36" xr10:uidLastSave="{00000000-0000-0000-0000-000000000000}"/>
  <workbookProtection workbookAlgorithmName="SHA-512" workbookHashValue="Dzz3TWco1/PPZ+kjfMUL5AZrNAZCblWbOy5PJQHSjz9oPOstkF60MxPSIgv4t9hLAKXGUD5qcByBG4oItxoBOQ==" workbookSaltValue="O0sCwvoj2sMNB9mkX+b3ew==" workbookSpinCount="100000" lockStructure="1"/>
  <bookViews>
    <workbookView xWindow="0" yWindow="0" windowWidth="21570" windowHeight="9330" xr2:uid="{00000000-000D-0000-FFFF-FFFF00000000}"/>
  </bookViews>
  <sheets>
    <sheet name="Introduction" sheetId="1" r:id="rId1"/>
    <sheet name="2 - Community" sheetId="3" r:id="rId2"/>
    <sheet name="3 - Ecology" sheetId="4" r:id="rId3"/>
    <sheet name="4 - Water" sheetId="5" r:id="rId4"/>
    <sheet name="5 - Economy" sheetId="6" r:id="rId5"/>
    <sheet name="6 - Energy" sheetId="7" r:id="rId6"/>
    <sheet name="7 - Wellness" sheetId="8" r:id="rId7"/>
    <sheet name="8 - Resources" sheetId="9" r:id="rId8"/>
    <sheet name="9 - Change" sheetId="10" r:id="rId9"/>
    <sheet name="10 - Discovery" sheetId="11" r:id="rId10"/>
    <sheet name="Summary" sheetId="12" r:id="rId11"/>
    <sheet name="Results" sheetId="13" r:id="rId12"/>
    <sheet name="Reference Information" sheetId="2" r:id="rId13"/>
  </sheets>
  <definedNames>
    <definedName name="Even_passive_occupants_are_presented_with_performance_feedback">'10 - Discovery'!$E$29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53" i="9" l="1"/>
  <c r="F52" i="9"/>
  <c r="F82" i="5"/>
  <c r="J82" i="5"/>
  <c r="E10" i="4"/>
  <c r="L22" i="2"/>
  <c r="L21" i="2"/>
  <c r="E32" i="3"/>
  <c r="E33" i="7"/>
  <c r="F7" i="12" l="1"/>
  <c r="F7" i="13" s="1"/>
  <c r="F18" i="13" l="1"/>
  <c r="F67" i="12" l="1"/>
  <c r="F66" i="12"/>
  <c r="F35" i="13" s="1"/>
  <c r="B35" i="13"/>
  <c r="B44" i="13"/>
  <c r="F54" i="9"/>
  <c r="F74" i="12" l="1"/>
  <c r="F41" i="13" s="1"/>
  <c r="F36" i="13"/>
  <c r="K82" i="5"/>
  <c r="E6" i="8" l="1"/>
  <c r="L13" i="2" l="1"/>
  <c r="L14" i="2"/>
  <c r="L15" i="2"/>
  <c r="L16" i="2"/>
  <c r="L17" i="2"/>
  <c r="L18" i="2"/>
  <c r="L19" i="2"/>
  <c r="L20"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12" i="2"/>
  <c r="P7" i="2"/>
  <c r="P9" i="2"/>
  <c r="P10" i="2" s="1"/>
  <c r="P12" i="2"/>
  <c r="P13" i="2" s="1"/>
  <c r="P15" i="2"/>
  <c r="P20" i="2"/>
  <c r="P26" i="2"/>
  <c r="P27" i="2"/>
  <c r="P30" i="2"/>
  <c r="P33" i="2"/>
  <c r="P34" i="2"/>
  <c r="P35" i="2"/>
  <c r="P36" i="2"/>
  <c r="P37" i="2"/>
  <c r="H57" i="5"/>
  <c r="I114" i="5"/>
  <c r="I113" i="5"/>
  <c r="I112" i="5"/>
  <c r="I111" i="5"/>
  <c r="E11" i="4"/>
  <c r="E25" i="4" s="1"/>
  <c r="E49" i="3"/>
  <c r="E48" i="3"/>
  <c r="F49" i="3"/>
  <c r="F48" i="3"/>
  <c r="E20" i="3"/>
  <c r="L17" i="3"/>
  <c r="F42" i="1"/>
  <c r="E12" i="4" l="1"/>
  <c r="I115" i="5"/>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52" i="1"/>
  <c r="F41" i="1"/>
  <c r="AY102" i="1" l="1"/>
  <c r="Y113" i="1" s="1"/>
  <c r="F40" i="1"/>
  <c r="F3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59" i="1"/>
  <c r="X9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59" i="1"/>
  <c r="G29" i="1"/>
  <c r="X106" i="1"/>
  <c r="X107" i="1"/>
  <c r="X108" i="1"/>
  <c r="X109" i="1"/>
  <c r="X110" i="1"/>
  <c r="X111" i="1"/>
  <c r="X112" i="1"/>
  <c r="X113" i="1"/>
  <c r="Y112" i="1" l="1"/>
  <c r="Y111" i="1"/>
  <c r="Y110" i="1"/>
  <c r="Y107" i="1"/>
  <c r="Y109" i="1"/>
  <c r="Y108" i="1"/>
  <c r="Y106" i="1"/>
  <c r="AA94" i="1"/>
  <c r="AA86" i="1"/>
  <c r="AA78" i="1"/>
  <c r="AA70" i="1"/>
  <c r="AA62" i="1"/>
  <c r="AA93" i="1"/>
  <c r="AA85" i="1"/>
  <c r="AA77" i="1"/>
  <c r="AA69" i="1"/>
  <c r="AA61" i="1"/>
  <c r="AA59" i="1"/>
  <c r="AA91" i="1"/>
  <c r="AA83" i="1"/>
  <c r="AA75" i="1"/>
  <c r="AA67" i="1"/>
  <c r="AA92" i="1"/>
  <c r="AA84" i="1"/>
  <c r="AA76" i="1"/>
  <c r="AA68" i="1"/>
  <c r="AA60" i="1"/>
  <c r="AA95" i="1"/>
  <c r="AA87" i="1"/>
  <c r="AA79" i="1"/>
  <c r="AA71" i="1"/>
  <c r="AA63" i="1"/>
  <c r="AA96" i="1"/>
  <c r="AA88" i="1"/>
  <c r="AA80" i="1"/>
  <c r="AA72" i="1"/>
  <c r="AA64" i="1"/>
  <c r="AA99" i="1"/>
  <c r="AA98" i="1"/>
  <c r="AA90" i="1"/>
  <c r="AA74" i="1"/>
  <c r="AA66" i="1"/>
  <c r="AA82" i="1"/>
  <c r="AA97" i="1"/>
  <c r="AA89" i="1"/>
  <c r="AA81" i="1"/>
  <c r="AA73" i="1"/>
  <c r="AA65" i="1"/>
  <c r="E30" i="11"/>
  <c r="AR99" i="1" l="1"/>
  <c r="AP85" i="1"/>
  <c r="AR85" i="1"/>
  <c r="AP76" i="1"/>
  <c r="AR76" i="1"/>
  <c r="AS65" i="1"/>
  <c r="AR65" i="1"/>
  <c r="AP84" i="1"/>
  <c r="AR84" i="1"/>
  <c r="AQ73" i="1"/>
  <c r="AR73" i="1"/>
  <c r="AQ92" i="1"/>
  <c r="AR92" i="1"/>
  <c r="AP81" i="1"/>
  <c r="AR81" i="1"/>
  <c r="AQ78" i="1"/>
  <c r="AR78" i="1"/>
  <c r="AQ96" i="1"/>
  <c r="AR96" i="1"/>
  <c r="AP75" i="1"/>
  <c r="AR75" i="1"/>
  <c r="AQ97" i="1"/>
  <c r="AR97" i="1"/>
  <c r="AQ83" i="1"/>
  <c r="AR83" i="1"/>
  <c r="AQ82" i="1"/>
  <c r="AR82" i="1"/>
  <c r="AQ91" i="1"/>
  <c r="AR91" i="1"/>
  <c r="AS59" i="1"/>
  <c r="AR59" i="1"/>
  <c r="AS87" i="1"/>
  <c r="AR87" i="1"/>
  <c r="AQ95" i="1"/>
  <c r="AR95" i="1"/>
  <c r="AP69" i="1"/>
  <c r="AR69" i="1"/>
  <c r="AP68" i="1"/>
  <c r="AR68" i="1"/>
  <c r="AP64" i="1"/>
  <c r="AR64" i="1"/>
  <c r="AQ93" i="1"/>
  <c r="AR93" i="1"/>
  <c r="AP72" i="1"/>
  <c r="AR72" i="1"/>
  <c r="AP62" i="1"/>
  <c r="AR62" i="1"/>
  <c r="AP80" i="1"/>
  <c r="AR80" i="1"/>
  <c r="AQ70" i="1"/>
  <c r="AR70" i="1"/>
  <c r="AQ88" i="1"/>
  <c r="AR88" i="1"/>
  <c r="AS67" i="1"/>
  <c r="AR67" i="1"/>
  <c r="AS89" i="1"/>
  <c r="AR89" i="1"/>
  <c r="AP86" i="1"/>
  <c r="AR86" i="1"/>
  <c r="AS63" i="1"/>
  <c r="AR63" i="1"/>
  <c r="AP94" i="1"/>
  <c r="AR94" i="1"/>
  <c r="AS71" i="1"/>
  <c r="AR71" i="1"/>
  <c r="AQ66" i="1"/>
  <c r="AR66" i="1"/>
  <c r="AP79" i="1"/>
  <c r="AR79" i="1"/>
  <c r="AS74" i="1"/>
  <c r="AR74" i="1"/>
  <c r="AS61" i="1"/>
  <c r="AR61" i="1"/>
  <c r="AQ90" i="1"/>
  <c r="AR90" i="1"/>
  <c r="AQ98" i="1"/>
  <c r="AR98" i="1"/>
  <c r="AP60" i="1"/>
  <c r="AR60" i="1"/>
  <c r="AQ77" i="1"/>
  <c r="AR77" i="1"/>
  <c r="AQ62" i="1"/>
  <c r="AS70" i="1"/>
  <c r="AP78" i="1"/>
  <c r="AS86" i="1"/>
  <c r="AQ86" i="1"/>
  <c r="AS94" i="1"/>
  <c r="AS69" i="1"/>
  <c r="AS78" i="1"/>
  <c r="AQ69" i="1"/>
  <c r="AP70" i="1"/>
  <c r="AP59" i="1"/>
  <c r="AQ61" i="1"/>
  <c r="AP61" i="1"/>
  <c r="AP91" i="1"/>
  <c r="AQ94" i="1"/>
  <c r="AS85" i="1"/>
  <c r="AP67" i="1"/>
  <c r="AS81" i="1"/>
  <c r="AS75" i="1"/>
  <c r="AS62" i="1"/>
  <c r="AQ75" i="1"/>
  <c r="AS95" i="1"/>
  <c r="AQ67" i="1"/>
  <c r="AP77" i="1"/>
  <c r="AP93" i="1"/>
  <c r="AS77" i="1"/>
  <c r="AQ85" i="1"/>
  <c r="AS93" i="1"/>
  <c r="AP95" i="1"/>
  <c r="AS76" i="1"/>
  <c r="AQ76" i="1"/>
  <c r="AP96" i="1"/>
  <c r="AQ59" i="1"/>
  <c r="AS96" i="1"/>
  <c r="AP92" i="1"/>
  <c r="AQ74" i="1"/>
  <c r="AP83" i="1"/>
  <c r="AS83" i="1"/>
  <c r="AQ71" i="1"/>
  <c r="AS92" i="1"/>
  <c r="AP71" i="1"/>
  <c r="AS88" i="1"/>
  <c r="AP88" i="1"/>
  <c r="AS91" i="1"/>
  <c r="AS68" i="1"/>
  <c r="AS80" i="1"/>
  <c r="AS60" i="1"/>
  <c r="AQ80" i="1"/>
  <c r="AQ60" i="1"/>
  <c r="AQ68" i="1"/>
  <c r="AS66" i="1"/>
  <c r="AP63" i="1"/>
  <c r="AQ63" i="1"/>
  <c r="AS84" i="1"/>
  <c r="AP66" i="1"/>
  <c r="AQ84" i="1"/>
  <c r="AQ79" i="1"/>
  <c r="AS64" i="1"/>
  <c r="AP97" i="1"/>
  <c r="AS79" i="1"/>
  <c r="AQ64" i="1"/>
  <c r="AP74" i="1"/>
  <c r="AP87" i="1"/>
  <c r="AS72" i="1"/>
  <c r="AP82" i="1"/>
  <c r="AS82" i="1"/>
  <c r="AQ87" i="1"/>
  <c r="AQ72" i="1"/>
  <c r="AS97" i="1"/>
  <c r="Z106" i="1"/>
  <c r="AA106" i="1" s="1"/>
  <c r="Z107" i="1"/>
  <c r="AA107" i="1" s="1"/>
  <c r="N20" i="1"/>
  <c r="Z110" i="1"/>
  <c r="AA110" i="1" s="1"/>
  <c r="Z108" i="1"/>
  <c r="AA108" i="1" s="1"/>
  <c r="Z109" i="1"/>
  <c r="AA109" i="1" s="1"/>
  <c r="Z113" i="1"/>
  <c r="AA113" i="1" s="1"/>
  <c r="Z111" i="1"/>
  <c r="AA111" i="1" s="1"/>
  <c r="Z112" i="1"/>
  <c r="AA112" i="1" s="1"/>
  <c r="AP65" i="1"/>
  <c r="AS90" i="1"/>
  <c r="AQ65" i="1"/>
  <c r="AP90" i="1"/>
  <c r="AP98" i="1"/>
  <c r="AS98" i="1"/>
  <c r="AP73" i="1"/>
  <c r="AS73" i="1"/>
  <c r="AP89" i="1"/>
  <c r="AQ89" i="1"/>
  <c r="AQ81" i="1"/>
  <c r="AA100" i="1"/>
  <c r="L35" i="5"/>
  <c r="L34" i="5"/>
  <c r="K35" i="5"/>
  <c r="K34" i="5"/>
  <c r="O16" i="1" l="1"/>
  <c r="AP100" i="1"/>
  <c r="AQ100" i="1"/>
  <c r="AS100" i="1"/>
  <c r="AR100" i="1"/>
  <c r="E10" i="9" s="1"/>
  <c r="O7" i="1"/>
  <c r="O8" i="1" s="1"/>
  <c r="AA114" i="1"/>
  <c r="O10" i="1"/>
  <c r="E13" i="10"/>
  <c r="H124" i="5"/>
  <c r="I60" i="5"/>
  <c r="I61" i="5"/>
  <c r="I37" i="5"/>
  <c r="I36" i="5"/>
  <c r="I35" i="5"/>
  <c r="I34" i="5"/>
  <c r="O9" i="1" l="1"/>
  <c r="H98" i="5" s="1"/>
  <c r="H97" i="5"/>
  <c r="Z122" i="1"/>
  <c r="AA122" i="1" s="1"/>
  <c r="N21" i="1"/>
  <c r="Z119" i="1"/>
  <c r="AA119" i="1" s="1"/>
  <c r="Z121" i="1"/>
  <c r="AA121" i="1" s="1"/>
  <c r="O11" i="1"/>
  <c r="F6" i="7"/>
  <c r="Z120" i="1"/>
  <c r="AA120" i="1" s="1"/>
  <c r="M28" i="7"/>
  <c r="L28" i="7"/>
  <c r="K28" i="7"/>
  <c r="J28" i="7"/>
  <c r="H28" i="7"/>
  <c r="G28" i="7"/>
  <c r="F28" i="7"/>
  <c r="E28" i="7"/>
  <c r="H57" i="13"/>
  <c r="E57" i="13"/>
  <c r="H56" i="13"/>
  <c r="E56" i="13"/>
  <c r="H55" i="13"/>
  <c r="E55" i="13"/>
  <c r="H54" i="13"/>
  <c r="E54" i="13"/>
  <c r="B53" i="13"/>
  <c r="B52" i="13"/>
  <c r="B51" i="13"/>
  <c r="B49" i="13"/>
  <c r="B48" i="13"/>
  <c r="B47" i="13"/>
  <c r="B46" i="13"/>
  <c r="B43" i="13"/>
  <c r="N41" i="13"/>
  <c r="N49" i="13" s="1"/>
  <c r="B42" i="13"/>
  <c r="B41" i="13"/>
  <c r="B40" i="13"/>
  <c r="B39" i="13"/>
  <c r="B36" i="13"/>
  <c r="F34" i="13"/>
  <c r="B34" i="13"/>
  <c r="F33" i="13"/>
  <c r="B32" i="13"/>
  <c r="B31" i="13"/>
  <c r="B30" i="13"/>
  <c r="B28" i="13"/>
  <c r="B22" i="13"/>
  <c r="B20" i="13"/>
  <c r="B19" i="13"/>
  <c r="B18" i="13"/>
  <c r="B15" i="13"/>
  <c r="B14" i="13"/>
  <c r="B12" i="13"/>
  <c r="B11" i="13"/>
  <c r="B10" i="13"/>
  <c r="B9" i="13"/>
  <c r="B8" i="13"/>
  <c r="B7" i="13"/>
  <c r="B6" i="13"/>
  <c r="F83" i="12"/>
  <c r="F49" i="13" s="1"/>
  <c r="F73" i="12"/>
  <c r="F40" i="13" s="1"/>
  <c r="F72" i="12"/>
  <c r="F39" i="13" s="1"/>
  <c r="F65" i="12"/>
  <c r="F64" i="12"/>
  <c r="F63" i="12"/>
  <c r="F56" i="12"/>
  <c r="F41" i="12"/>
  <c r="F39" i="12"/>
  <c r="F38" i="12"/>
  <c r="F34" i="12"/>
  <c r="F20" i="12"/>
  <c r="F15" i="13" s="1"/>
  <c r="F19" i="12"/>
  <c r="F17" i="12"/>
  <c r="F16" i="12"/>
  <c r="F14" i="13" s="1"/>
  <c r="F6" i="12"/>
  <c r="F6" i="13" s="1"/>
  <c r="E3" i="12"/>
  <c r="I22" i="11"/>
  <c r="F22" i="11"/>
  <c r="I21" i="11"/>
  <c r="F21" i="11"/>
  <c r="I20" i="11"/>
  <c r="F20" i="11"/>
  <c r="I19" i="11"/>
  <c r="F19" i="11"/>
  <c r="I11" i="11"/>
  <c r="F11" i="11"/>
  <c r="I10" i="11"/>
  <c r="F10" i="11"/>
  <c r="I9" i="11"/>
  <c r="F9" i="11"/>
  <c r="I8" i="11"/>
  <c r="F8" i="11"/>
  <c r="I7" i="11"/>
  <c r="F7" i="11"/>
  <c r="E7" i="10"/>
  <c r="F79" i="12" s="1"/>
  <c r="E49" i="9"/>
  <c r="V37" i="9"/>
  <c r="V23" i="9"/>
  <c r="T18" i="9"/>
  <c r="S18" i="9"/>
  <c r="Q18" i="9"/>
  <c r="T17" i="9"/>
  <c r="S17" i="9"/>
  <c r="Q17" i="9"/>
  <c r="T16" i="9"/>
  <c r="S16" i="9"/>
  <c r="Q16" i="9"/>
  <c r="T15" i="9"/>
  <c r="S15" i="9"/>
  <c r="Q15" i="9"/>
  <c r="T14" i="9"/>
  <c r="S14" i="9"/>
  <c r="Q14" i="9"/>
  <c r="T13" i="9"/>
  <c r="S13" i="9"/>
  <c r="Q13" i="9"/>
  <c r="T12" i="9"/>
  <c r="S12" i="9"/>
  <c r="Q12" i="9"/>
  <c r="T11" i="9"/>
  <c r="S11" i="9"/>
  <c r="Q11" i="9"/>
  <c r="T10" i="9"/>
  <c r="S10" i="9"/>
  <c r="Q10" i="9"/>
  <c r="T9" i="9"/>
  <c r="S9" i="9"/>
  <c r="Q9" i="9"/>
  <c r="E9" i="9"/>
  <c r="E11" i="9" s="1"/>
  <c r="F71" i="12" s="1"/>
  <c r="T8" i="9"/>
  <c r="S8" i="9"/>
  <c r="Q8" i="9"/>
  <c r="E8" i="9"/>
  <c r="F70" i="12" s="1"/>
  <c r="T7" i="9"/>
  <c r="S7" i="9"/>
  <c r="Q7" i="9"/>
  <c r="D7" i="9"/>
  <c r="T6" i="9"/>
  <c r="S6" i="9"/>
  <c r="Q6" i="9"/>
  <c r="V4" i="9"/>
  <c r="Q33" i="8"/>
  <c r="Q32" i="8"/>
  <c r="Q23" i="8"/>
  <c r="E18" i="8"/>
  <c r="F62" i="12" s="1"/>
  <c r="G10" i="8"/>
  <c r="F61" i="12" s="1"/>
  <c r="F32" i="13" s="1"/>
  <c r="G9" i="8"/>
  <c r="F60" i="12" s="1"/>
  <c r="F31" i="13" s="1"/>
  <c r="G8" i="8"/>
  <c r="F59" i="12" s="1"/>
  <c r="F30" i="13" s="1"/>
  <c r="E7" i="8"/>
  <c r="T57" i="7"/>
  <c r="T50" i="7"/>
  <c r="J32" i="7"/>
  <c r="L32" i="7" s="1"/>
  <c r="E32" i="7"/>
  <c r="G32" i="7" s="1"/>
  <c r="N27" i="7"/>
  <c r="N29" i="7" s="1"/>
  <c r="N33" i="7" s="1"/>
  <c r="M27" i="7"/>
  <c r="L27" i="7"/>
  <c r="K27" i="7"/>
  <c r="J27" i="7"/>
  <c r="G47" i="7" s="1"/>
  <c r="I27" i="7"/>
  <c r="I29" i="7" s="1"/>
  <c r="H27" i="7"/>
  <c r="G27" i="7"/>
  <c r="F27" i="7"/>
  <c r="E27" i="7"/>
  <c r="T14" i="7"/>
  <c r="T12" i="7"/>
  <c r="T11" i="7"/>
  <c r="E27" i="6"/>
  <c r="F42" i="12" s="1"/>
  <c r="F23" i="13" s="1"/>
  <c r="M19" i="6"/>
  <c r="E7" i="6"/>
  <c r="E8" i="6" s="1"/>
  <c r="F40" i="12" s="1"/>
  <c r="F22" i="13" s="1"/>
  <c r="I116" i="5"/>
  <c r="T111" i="5"/>
  <c r="H107" i="5"/>
  <c r="T106" i="5"/>
  <c r="L82" i="5"/>
  <c r="I82" i="5"/>
  <c r="H82" i="5"/>
  <c r="T56" i="5"/>
  <c r="T33" i="5"/>
  <c r="L33" i="5"/>
  <c r="K33" i="5"/>
  <c r="L19" i="5"/>
  <c r="K19" i="5"/>
  <c r="J19" i="5"/>
  <c r="T13" i="5"/>
  <c r="L13" i="5"/>
  <c r="K13" i="5"/>
  <c r="J13" i="5"/>
  <c r="H13" i="5"/>
  <c r="L12" i="5"/>
  <c r="K12" i="5"/>
  <c r="J12" i="5"/>
  <c r="I12" i="5"/>
  <c r="H12" i="5"/>
  <c r="H7" i="5"/>
  <c r="T6" i="5"/>
  <c r="H6" i="5"/>
  <c r="G12" i="5" s="1"/>
  <c r="T5" i="5"/>
  <c r="T4" i="5"/>
  <c r="T3" i="5"/>
  <c r="E24" i="4"/>
  <c r="E23" i="4"/>
  <c r="E15" i="4"/>
  <c r="F14" i="12"/>
  <c r="F12" i="13" s="1"/>
  <c r="F13" i="12"/>
  <c r="F11" i="13" s="1"/>
  <c r="E40" i="3"/>
  <c r="F12" i="12" s="1"/>
  <c r="F10" i="13" s="1"/>
  <c r="F32" i="3"/>
  <c r="O5" i="1" s="1"/>
  <c r="O6" i="1" s="1"/>
  <c r="O27" i="3"/>
  <c r="O26" i="3"/>
  <c r="O25" i="3"/>
  <c r="O24" i="3"/>
  <c r="F8" i="12"/>
  <c r="F8" i="13" s="1"/>
  <c r="L16" i="3"/>
  <c r="L10" i="3"/>
  <c r="L4" i="3"/>
  <c r="F38" i="1"/>
  <c r="H86" i="5" l="1"/>
  <c r="I92" i="5"/>
  <c r="I100" i="5"/>
  <c r="F33" i="12" s="1"/>
  <c r="M29" i="7"/>
  <c r="M33" i="7" s="1"/>
  <c r="J29" i="7"/>
  <c r="J33" i="7" s="1"/>
  <c r="AA123" i="1"/>
  <c r="N22" i="1" s="1"/>
  <c r="J111" i="5"/>
  <c r="K111" i="5" s="1"/>
  <c r="K29" i="7"/>
  <c r="K33" i="7" s="1"/>
  <c r="O12" i="1"/>
  <c r="K6" i="7"/>
  <c r="E24" i="11"/>
  <c r="F86" i="12" s="1"/>
  <c r="F52" i="13" s="1"/>
  <c r="E16" i="4"/>
  <c r="E13" i="11"/>
  <c r="F85" i="12" s="1"/>
  <c r="F51" i="13" s="1"/>
  <c r="R37" i="13"/>
  <c r="R38" i="13" s="1"/>
  <c r="F82" i="12"/>
  <c r="I33" i="7"/>
  <c r="E14" i="6"/>
  <c r="E19" i="6" s="1"/>
  <c r="L29" i="7"/>
  <c r="G29" i="7"/>
  <c r="G33" i="7" s="1"/>
  <c r="H29" i="7"/>
  <c r="H33" i="7" s="1"/>
  <c r="F47" i="7"/>
  <c r="F31" i="12"/>
  <c r="F18" i="12"/>
  <c r="E26" i="3"/>
  <c r="E33" i="3" s="1"/>
  <c r="F11" i="12" s="1"/>
  <c r="F9" i="13" s="1"/>
  <c r="G13" i="5"/>
  <c r="I15" i="5" s="1"/>
  <c r="F69" i="12"/>
  <c r="E29" i="7"/>
  <c r="F40" i="7" s="1"/>
  <c r="F29" i="7"/>
  <c r="F33" i="7" s="1"/>
  <c r="I38" i="5"/>
  <c r="F36" i="12"/>
  <c r="F20" i="13"/>
  <c r="F80" i="12"/>
  <c r="F47" i="13" s="1"/>
  <c r="H58" i="5"/>
  <c r="H62" i="5" s="1"/>
  <c r="F87" i="12"/>
  <c r="F53" i="13" s="1"/>
  <c r="K38" i="5"/>
  <c r="I14" i="5"/>
  <c r="H14" i="5"/>
  <c r="L14" i="5"/>
  <c r="J14" i="5"/>
  <c r="K14" i="5"/>
  <c r="F38" i="13"/>
  <c r="F46" i="13"/>
  <c r="I93" i="5"/>
  <c r="F28" i="12" s="1"/>
  <c r="F29" i="12" s="1"/>
  <c r="F30" i="12"/>
  <c r="F77" i="12"/>
  <c r="F44" i="13" s="1"/>
  <c r="F76" i="12"/>
  <c r="F43" i="13" s="1"/>
  <c r="F75" i="12"/>
  <c r="F42" i="13" s="1"/>
  <c r="L38" i="5"/>
  <c r="J114" i="5"/>
  <c r="K114" i="5" s="1"/>
  <c r="J113" i="5"/>
  <c r="K113" i="5" s="1"/>
  <c r="J115" i="5"/>
  <c r="K115" i="5" s="1"/>
  <c r="J112" i="5"/>
  <c r="K112" i="5" s="1"/>
  <c r="I86" i="5" l="1"/>
  <c r="J86" i="5"/>
  <c r="L33" i="7"/>
  <c r="G44" i="7" s="1"/>
  <c r="G40" i="7"/>
  <c r="F81" i="12" s="1"/>
  <c r="F48" i="13" s="1"/>
  <c r="G38" i="7"/>
  <c r="K86" i="5"/>
  <c r="I94" i="5"/>
  <c r="K15" i="5"/>
  <c r="K16" i="5" s="1"/>
  <c r="K20" i="5" s="1"/>
  <c r="K21" i="5" s="1"/>
  <c r="I16" i="5"/>
  <c r="I20" i="5" s="1"/>
  <c r="I21" i="5" s="1"/>
  <c r="H15" i="5"/>
  <c r="H16" i="5" s="1"/>
  <c r="H20" i="5" s="1"/>
  <c r="J15" i="5"/>
  <c r="J16" i="5" s="1"/>
  <c r="J20" i="5" s="1"/>
  <c r="J21" i="5" s="1"/>
  <c r="F9" i="12"/>
  <c r="F10" i="12" s="1"/>
  <c r="P37" i="13" s="1"/>
  <c r="P39" i="13" s="1"/>
  <c r="L15" i="5"/>
  <c r="L16" i="5" s="1"/>
  <c r="L20" i="5" s="1"/>
  <c r="L21" i="5" s="1"/>
  <c r="F44" i="7"/>
  <c r="F45" i="7" s="1"/>
  <c r="F47" i="12" s="1"/>
  <c r="F38" i="7"/>
  <c r="F39" i="7" s="1"/>
  <c r="F48" i="12"/>
  <c r="F26" i="13" s="1"/>
  <c r="K116" i="5"/>
  <c r="K117" i="5" s="1"/>
  <c r="F53" i="7"/>
  <c r="F54" i="7" s="1"/>
  <c r="F57" i="12" s="1"/>
  <c r="F28" i="13" s="1"/>
  <c r="F32" i="12"/>
  <c r="G17" i="13"/>
  <c r="R39" i="13"/>
  <c r="I44" i="5"/>
  <c r="I41" i="5"/>
  <c r="I50" i="5"/>
  <c r="I43" i="5"/>
  <c r="L40" i="5"/>
  <c r="I42" i="5"/>
  <c r="I47" i="5"/>
  <c r="I46" i="5"/>
  <c r="I45" i="5"/>
  <c r="I52" i="5"/>
  <c r="I51" i="5"/>
  <c r="K40" i="5"/>
  <c r="I49" i="5"/>
  <c r="I48" i="5"/>
  <c r="J116" i="5"/>
  <c r="F54" i="12" l="1"/>
  <c r="G26" i="13" s="1"/>
  <c r="G39" i="7"/>
  <c r="G43" i="7" s="1"/>
  <c r="G41" i="7"/>
  <c r="P40" i="13"/>
  <c r="P41" i="13"/>
  <c r="P38" i="13"/>
  <c r="H118" i="5"/>
  <c r="F41" i="7"/>
  <c r="F45" i="12" s="1"/>
  <c r="F19" i="13"/>
  <c r="F35" i="12"/>
  <c r="I53" i="5"/>
  <c r="H21" i="5"/>
  <c r="K23" i="5" s="1"/>
  <c r="F74" i="5" s="1"/>
  <c r="G74" i="5" s="1"/>
  <c r="G23" i="5"/>
  <c r="R40" i="13"/>
  <c r="F43" i="7"/>
  <c r="F46" i="12" s="1"/>
  <c r="F25" i="13" s="1"/>
  <c r="F42" i="7"/>
  <c r="F44" i="12" s="1"/>
  <c r="G45" i="7"/>
  <c r="F53" i="12" s="1"/>
  <c r="Q37" i="13" s="1"/>
  <c r="F51" i="12"/>
  <c r="F70" i="5" l="1"/>
  <c r="G42" i="7"/>
  <c r="F50" i="12" s="1"/>
  <c r="F52" i="12"/>
  <c r="G25" i="13" s="1"/>
  <c r="F75" i="5"/>
  <c r="G75" i="5" s="1"/>
  <c r="F80" i="5"/>
  <c r="G80" i="5" s="1"/>
  <c r="F72" i="5"/>
  <c r="G72" i="5" s="1"/>
  <c r="F71" i="5"/>
  <c r="G71" i="5" s="1"/>
  <c r="F81" i="5"/>
  <c r="G81" i="5" s="1"/>
  <c r="F73" i="5"/>
  <c r="G73" i="5" s="1"/>
  <c r="F77" i="5"/>
  <c r="G77" i="5" s="1"/>
  <c r="R41" i="13"/>
  <c r="G70" i="5"/>
  <c r="F76" i="5"/>
  <c r="G76" i="5" s="1"/>
  <c r="F78" i="5"/>
  <c r="G78" i="5" s="1"/>
  <c r="F79" i="5"/>
  <c r="G79" i="5" s="1"/>
  <c r="Q39" i="13"/>
  <c r="Q40" i="13"/>
  <c r="Q38" i="13"/>
  <c r="Q41" i="13"/>
  <c r="T37" i="13"/>
  <c r="G82" i="5" l="1"/>
  <c r="T41" i="13"/>
  <c r="Q49" i="13" s="1"/>
  <c r="R45" i="13"/>
  <c r="P45" i="13"/>
  <c r="T38" i="13"/>
  <c r="Q46" i="13" s="1"/>
  <c r="T40" i="13"/>
  <c r="Q48" i="13" s="1"/>
  <c r="Q45" i="13"/>
  <c r="T39" i="13"/>
  <c r="H85" i="5" l="1"/>
  <c r="H92" i="5"/>
  <c r="H100" i="5" s="1"/>
  <c r="I85" i="5"/>
  <c r="R49" i="13"/>
  <c r="T45" i="13"/>
  <c r="R47" i="13"/>
  <c r="P47" i="13"/>
  <c r="Q47" i="13"/>
  <c r="R46" i="13"/>
  <c r="P46" i="13"/>
  <c r="T49" i="13"/>
  <c r="P49" i="13"/>
  <c r="P48" i="13"/>
  <c r="R48" i="13"/>
  <c r="J85" i="5" l="1"/>
  <c r="F25" i="12" s="1"/>
  <c r="K85" i="5"/>
  <c r="F26" i="12" s="1"/>
  <c r="F27" i="12"/>
  <c r="F17" i="13" s="1"/>
  <c r="H94" i="5"/>
  <c r="T46" i="13"/>
  <c r="F24" i="12"/>
  <c r="H93" i="5"/>
  <c r="F22" i="12" s="1"/>
  <c r="F23" i="12" s="1"/>
  <c r="T47" i="13"/>
  <c r="T48" i="13"/>
  <c r="AG55" i="1" l="1"/>
  <c r="AI55" i="1" s="1"/>
  <c r="AH55" i="1"/>
  <c r="AF55" i="1"/>
  <c r="AJ69" i="1" l="1"/>
  <c r="AO69" i="1" s="1"/>
  <c r="AJ76" i="1"/>
  <c r="AO76" i="1" s="1"/>
  <c r="AJ61" i="1"/>
  <c r="AO61" i="1" s="1"/>
  <c r="AJ68" i="1"/>
  <c r="AO68" i="1" s="1"/>
  <c r="AJ66" i="1"/>
  <c r="AO66" i="1" s="1"/>
  <c r="AJ98" i="1"/>
  <c r="AO98" i="1" s="1"/>
  <c r="AJ89" i="1"/>
  <c r="AO89" i="1" s="1"/>
  <c r="AJ81" i="1"/>
  <c r="AO81" i="1" s="1"/>
  <c r="AJ70" i="1"/>
  <c r="AO70" i="1" s="1"/>
  <c r="AJ84" i="1"/>
  <c r="AO84" i="1" s="1"/>
  <c r="AJ74" i="1"/>
  <c r="AO74" i="1" s="1"/>
  <c r="AJ59" i="1"/>
  <c r="AO59" i="1" s="1"/>
  <c r="AJ67" i="1"/>
  <c r="AO67" i="1" s="1"/>
  <c r="AJ91" i="1"/>
  <c r="AO91" i="1" s="1"/>
  <c r="AJ93" i="1"/>
  <c r="AO93" i="1" s="1"/>
  <c r="AJ96" i="1"/>
  <c r="AO96" i="1" s="1"/>
  <c r="AJ77" i="1"/>
  <c r="AO77" i="1" s="1"/>
  <c r="AJ82" i="1"/>
  <c r="AO82" i="1" s="1"/>
  <c r="AJ94" i="1"/>
  <c r="AO94" i="1" s="1"/>
  <c r="AJ75" i="1"/>
  <c r="AO75" i="1" s="1"/>
  <c r="AJ86" i="1"/>
  <c r="AO86" i="1" s="1"/>
  <c r="AJ63" i="1"/>
  <c r="AO63" i="1" s="1"/>
  <c r="AJ80" i="1"/>
  <c r="AO80" i="1" s="1"/>
  <c r="AJ83" i="1"/>
  <c r="AO83" i="1" s="1"/>
  <c r="AJ88" i="1"/>
  <c r="AO88" i="1" s="1"/>
  <c r="AJ97" i="1"/>
  <c r="AO97" i="1" s="1"/>
  <c r="AJ72" i="1"/>
  <c r="AO72" i="1" s="1"/>
  <c r="AJ85" i="1"/>
  <c r="AO85" i="1" s="1"/>
  <c r="AJ71" i="1"/>
  <c r="AO71" i="1" s="1"/>
  <c r="AJ78" i="1"/>
  <c r="AO78" i="1" s="1"/>
  <c r="AJ92" i="1"/>
  <c r="AO92" i="1" s="1"/>
  <c r="AJ65" i="1"/>
  <c r="AO65" i="1" s="1"/>
  <c r="AJ60" i="1"/>
  <c r="AO60" i="1" s="1"/>
  <c r="AJ87" i="1"/>
  <c r="AO87" i="1" s="1"/>
  <c r="AJ64" i="1"/>
  <c r="AO64" i="1" s="1"/>
  <c r="AJ73" i="1"/>
  <c r="AO73" i="1" s="1"/>
  <c r="AJ90" i="1"/>
  <c r="AO90" i="1" s="1"/>
  <c r="AJ95" i="1"/>
  <c r="AO95" i="1" s="1"/>
  <c r="AJ62" i="1"/>
  <c r="AO62" i="1" s="1"/>
  <c r="AJ79" i="1"/>
  <c r="AO79" i="1" s="1"/>
  <c r="AO100" i="1" l="1"/>
  <c r="O13" i="1"/>
  <c r="O14" i="1" l="1"/>
  <c r="F7" i="7"/>
  <c r="O15" i="1" l="1"/>
  <c r="K7" i="7"/>
  <c r="G46" i="7" s="1"/>
  <c r="F46" i="7" l="1"/>
  <c r="F49" i="12" s="1"/>
  <c r="F27" i="13" s="1"/>
  <c r="F55" i="12"/>
  <c r="G27" i="13" s="1"/>
</calcChain>
</file>

<file path=xl/sharedStrings.xml><?xml version="1.0" encoding="utf-8"?>
<sst xmlns="http://schemas.openxmlformats.org/spreadsheetml/2006/main" count="1829" uniqueCount="1127">
  <si>
    <t>Welcome to the COTE Top Ten Super Spreadsheet!</t>
  </si>
  <si>
    <t>Measure 2 - Design for Community</t>
  </si>
  <si>
    <t>Benchmarking</t>
  </si>
  <si>
    <t>Explanation</t>
  </si>
  <si>
    <t>Step 1: Fill out the below basic information of your  project</t>
  </si>
  <si>
    <t>Explanations</t>
  </si>
  <si>
    <t>Step 2: Review your benchmarks. This is what your project will be compared against</t>
  </si>
  <si>
    <t>Cell Types</t>
  </si>
  <si>
    <t>Calculators: Enter your values into the yellow cells</t>
  </si>
  <si>
    <t>Reasonable Ranges</t>
  </si>
  <si>
    <t>Sources</t>
  </si>
  <si>
    <t>Walkscore.com generates a score for walkability and community resources for any address in the US. The higher the score, the more pedestrian friendly the site.</t>
  </si>
  <si>
    <t>1 - Walk Score</t>
  </si>
  <si>
    <t>0% - 25%</t>
  </si>
  <si>
    <t>Car Dependent</t>
  </si>
  <si>
    <t>Project Name</t>
  </si>
  <si>
    <t>25% - 50%</t>
  </si>
  <si>
    <t>Mostly Car Dependent</t>
  </si>
  <si>
    <t>www.walkscore.com</t>
  </si>
  <si>
    <t>50% -70%</t>
  </si>
  <si>
    <t>Somewhat Walkable</t>
  </si>
  <si>
    <t>70% - 90%</t>
  </si>
  <si>
    <t>Very Walkable</t>
  </si>
  <si>
    <t>Project Address</t>
  </si>
  <si>
    <t>Building Type</t>
  </si>
  <si>
    <t>Energy Benchmarking</t>
  </si>
  <si>
    <t>Carbon Benchmarking</t>
  </si>
  <si>
    <t>Water Benchmarking</t>
  </si>
  <si>
    <t>Building type aggregates</t>
  </si>
  <si>
    <t>Benchmarks</t>
  </si>
  <si>
    <t>90% - 100%</t>
  </si>
  <si>
    <t>Walker's Paradise</t>
  </si>
  <si>
    <t>Based on "Arnstein's Ladder of Social Engagement", how much say did the community have during the design and construction process?</t>
  </si>
  <si>
    <t xml:space="preserve">Urban / Rural </t>
  </si>
  <si>
    <t>2 - Community Engagement</t>
  </si>
  <si>
    <t>Poor</t>
  </si>
  <si>
    <t>Manipulation, Therapy</t>
  </si>
  <si>
    <t>Region</t>
  </si>
  <si>
    <t>Single Family</t>
  </si>
  <si>
    <t>Total</t>
  </si>
  <si>
    <t>Input data</t>
  </si>
  <si>
    <t>Baseline</t>
  </si>
  <si>
    <t>Informing, Consultation</t>
  </si>
  <si>
    <t>Community Engagement Level</t>
  </si>
  <si>
    <t>City</t>
  </si>
  <si>
    <r>
      <rPr>
        <b/>
        <sz val="10"/>
        <rFont val="Calibri"/>
        <family val="2"/>
      </rPr>
      <t>Fuel Breakdown Table: lbs. CO2/kBtu for each fuel source</t>
    </r>
    <r>
      <rPr>
        <sz val="10"/>
        <color rgb="FF000000"/>
        <rFont val="Calibri"/>
        <family val="2"/>
      </rPr>
      <t xml:space="preserve">
*Assume natural gas</t>
    </r>
  </si>
  <si>
    <t>4: Consultation</t>
  </si>
  <si>
    <t xml:space="preserve">Better </t>
  </si>
  <si>
    <t>Partnership, Delegation</t>
  </si>
  <si>
    <t>Best!</t>
  </si>
  <si>
    <t>Citizen Control</t>
  </si>
  <si>
    <t>State</t>
  </si>
  <si>
    <t>TX</t>
  </si>
  <si>
    <t xml:space="preserve">The number of occupants commuting by any means other than single occupancy vehicle on any given day. Includes walking, cycling, public transit, etc.  </t>
  </si>
  <si>
    <t>3 - Percentage of occupants Commuting by Alternative Transportation</t>
  </si>
  <si>
    <t>Below average</t>
  </si>
  <si>
    <t>0% - 23%</t>
  </si>
  <si>
    <t>Input non-numeric data</t>
  </si>
  <si>
    <t>Zip Code</t>
  </si>
  <si>
    <t xml:space="preserve">National average </t>
  </si>
  <si>
    <t>~24%</t>
  </si>
  <si>
    <t>Gross sf</t>
  </si>
  <si>
    <t>Calculated Value</t>
  </si>
  <si>
    <t>Number of occupants commuting by alternative transportation (avg.)</t>
  </si>
  <si>
    <t>sf</t>
  </si>
  <si>
    <t xml:space="preserve">Daily Ave. Occupancy </t>
  </si>
  <si>
    <t>People</t>
  </si>
  <si>
    <t xml:space="preserve">Above average </t>
  </si>
  <si>
    <t>25% - 100%</t>
  </si>
  <si>
    <t>Percent Alternative Commuters</t>
  </si>
  <si>
    <t>Transportation Carbon Emissions</t>
  </si>
  <si>
    <t>South</t>
  </si>
  <si>
    <t>Reasonable values and sources</t>
  </si>
  <si>
    <t>ex. New York City</t>
  </si>
  <si>
    <t>Transportation - Total Carbon</t>
  </si>
  <si>
    <t xml:space="preserve">ex. Manhattan </t>
  </si>
  <si>
    <t>Days</t>
  </si>
  <si>
    <t>4 - Simple Transportation Carbon Calculator</t>
  </si>
  <si>
    <t>hours</t>
  </si>
  <si>
    <t>Lbs. of CO2/Occupant</t>
  </si>
  <si>
    <t xml:space="preserve">Reference Values </t>
  </si>
  <si>
    <t>Total Construction Cost</t>
  </si>
  <si>
    <t>USD</t>
  </si>
  <si>
    <t>Project Type</t>
  </si>
  <si>
    <t>Unit</t>
  </si>
  <si>
    <t>Source</t>
  </si>
  <si>
    <t>Site Environment</t>
  </si>
  <si>
    <t>Average car fuel economy</t>
  </si>
  <si>
    <t>mpg</t>
  </si>
  <si>
    <t>Urban</t>
  </si>
  <si>
    <t>Yes</t>
  </si>
  <si>
    <t>Proposed</t>
  </si>
  <si>
    <t>&gt; 4000</t>
  </si>
  <si>
    <t>Third party rating system</t>
  </si>
  <si>
    <t>None</t>
  </si>
  <si>
    <t>FAR</t>
  </si>
  <si>
    <t>Percent of occupants commuting by single occupancy vehicle</t>
  </si>
  <si>
    <t>Weekly Avg.</t>
  </si>
  <si>
    <t>3000 - 4000</t>
  </si>
  <si>
    <t>Getting there</t>
  </si>
  <si>
    <t xml:space="preserve">Average one way commute </t>
  </si>
  <si>
    <t>Miles</t>
  </si>
  <si>
    <t>Average daily  commute (round trip distance)</t>
  </si>
  <si>
    <t>2000 - 3000</t>
  </si>
  <si>
    <t>Better</t>
  </si>
  <si>
    <t>Share of single occupancy commutes</t>
  </si>
  <si>
    <t>Days Commuting per week</t>
  </si>
  <si>
    <t>1000 - 2000</t>
  </si>
  <si>
    <t>High Performing</t>
  </si>
  <si>
    <t>Average commuting days</t>
  </si>
  <si>
    <t>days/year</t>
  </si>
  <si>
    <t xml:space="preserve"> 5 days * 50 weeks</t>
  </si>
  <si>
    <t>Weeks commuting per year</t>
  </si>
  <si>
    <t>weeks</t>
  </si>
  <si>
    <t>0 - 1000</t>
  </si>
  <si>
    <t>Very High Performing</t>
  </si>
  <si>
    <t>Average Car mpg</t>
  </si>
  <si>
    <t>*Please use reference values, not regional values</t>
  </si>
  <si>
    <t>lbs. of carbon dioxide emitted/occupant/year</t>
  </si>
  <si>
    <t>% reduction over the baseline</t>
  </si>
  <si>
    <t>Determine the number of parking spaces that are required on site by local zoning code. This number is compared to the actual number of spaces provided.</t>
  </si>
  <si>
    <t>Water Consumption</t>
  </si>
  <si>
    <t>5 - Parking space reduction</t>
  </si>
  <si>
    <t>&lt;0% Reduction</t>
  </si>
  <si>
    <t>WUI - Water Use Intensity</t>
  </si>
  <si>
    <t>0% Reduction</t>
  </si>
  <si>
    <t>Required On-site parking spaces</t>
  </si>
  <si>
    <t>25% Reduction</t>
  </si>
  <si>
    <t>50% Reduction</t>
  </si>
  <si>
    <t>Parking Space Reduction</t>
  </si>
  <si>
    <t>Gal/sf/year</t>
  </si>
  <si>
    <t>75% Reduction</t>
  </si>
  <si>
    <t>100% Reduction</t>
  </si>
  <si>
    <t xml:space="preserve">Record the number of bike racks and commuter showers provided for building occupants. </t>
  </si>
  <si>
    <t>6 - Bicycle Infrastructure</t>
  </si>
  <si>
    <t>Bike Racks</t>
  </si>
  <si>
    <t>Commuter Showers</t>
  </si>
  <si>
    <t>Number of Bike Racks</t>
  </si>
  <si>
    <t>10% - Good</t>
  </si>
  <si>
    <t>1% - Good</t>
  </si>
  <si>
    <t>Number of Showers</t>
  </si>
  <si>
    <t>25% - Better</t>
  </si>
  <si>
    <t>2.5% - Better</t>
  </si>
  <si>
    <t>Bike Racks installed for</t>
  </si>
  <si>
    <t>Program Breakdown</t>
  </si>
  <si>
    <t>50% - Best!</t>
  </si>
  <si>
    <t>5% - Best!</t>
  </si>
  <si>
    <t xml:space="preserve">Showers installed for </t>
  </si>
  <si>
    <t>EUI</t>
  </si>
  <si>
    <t>LPD</t>
  </si>
  <si>
    <t>Building Category (Carbon)</t>
  </si>
  <si>
    <t>Electricity</t>
  </si>
  <si>
    <t>Natural gas</t>
  </si>
  <si>
    <t>Fuel oil</t>
  </si>
  <si>
    <t>District heat*</t>
  </si>
  <si>
    <t>Benchmark Carbon
Lbs./sf/yr</t>
  </si>
  <si>
    <t>Building Category (Water)</t>
  </si>
  <si>
    <t>Water Use Intensity (Gal/sf/yr)</t>
  </si>
  <si>
    <t>Carbon Breakdown</t>
  </si>
  <si>
    <t>EUI Breakdown</t>
  </si>
  <si>
    <t>Water Breakdown</t>
  </si>
  <si>
    <t>LPD Breakdown</t>
  </si>
  <si>
    <t>Total Annual Water Use</t>
  </si>
  <si>
    <t>Gal/yr</t>
  </si>
  <si>
    <t>Water Use per Occupant</t>
  </si>
  <si>
    <t>Gal/occupant/yr</t>
  </si>
  <si>
    <t>Energy Consumption</t>
  </si>
  <si>
    <t>EUI - Energy Use Intensity</t>
  </si>
  <si>
    <t>kBtu/sf/year</t>
  </si>
  <si>
    <t>Bank</t>
  </si>
  <si>
    <t>Office</t>
  </si>
  <si>
    <t>Measure 3 - Design for Ecology</t>
  </si>
  <si>
    <t>Total Annual Energy Use</t>
  </si>
  <si>
    <t>Record the area of the site that was reserved for vegetation, both before and after development. Green roofs are included in vegetated area</t>
  </si>
  <si>
    <t>1 - Vegetated Area</t>
  </si>
  <si>
    <t xml:space="preserve">In most cases, it's desirable to increase a site's vegetated area. </t>
  </si>
  <si>
    <t>kBtu/yr</t>
  </si>
  <si>
    <t>Area of the total site that is vegetated - Post Development</t>
  </si>
  <si>
    <t>Area of the total site that is vegetated - Pre Development</t>
  </si>
  <si>
    <t>Percent Vegetated - Post Development</t>
  </si>
  <si>
    <t>Bar / night club</t>
  </si>
  <si>
    <t>Public assembly</t>
  </si>
  <si>
    <t>Public Assembly</t>
  </si>
  <si>
    <t>Percent Vegetated -  Pre Development</t>
  </si>
  <si>
    <t>Energy Use per Occupant</t>
  </si>
  <si>
    <t>Vegetated Area Increase</t>
  </si>
  <si>
    <t>kBtu/occupant/yr</t>
  </si>
  <si>
    <t>2 - Native Plantings</t>
  </si>
  <si>
    <t xml:space="preserve">A greater percentage of native plants and a smaller percentage of turf grass is usually preferable. 
</t>
  </si>
  <si>
    <t>Area of the total site covered by native plants- Post Development</t>
  </si>
  <si>
    <t>Education - College / University</t>
  </si>
  <si>
    <t>Education</t>
  </si>
  <si>
    <t>Area of the total site covered by turf grass - Post Development</t>
  </si>
  <si>
    <t>Operational Carbon Emissions</t>
  </si>
  <si>
    <t>Carbon Use Intensity</t>
  </si>
  <si>
    <t>Turf grass - Percent of Site</t>
  </si>
  <si>
    <t>Native plantings - Percent of vegetated area</t>
  </si>
  <si>
    <t>Convention Center</t>
  </si>
  <si>
    <t>Courthouse</t>
  </si>
  <si>
    <t>Total annual Carbon Emissions</t>
  </si>
  <si>
    <t>Education - K-12 School</t>
  </si>
  <si>
    <t>W/sf</t>
  </si>
  <si>
    <t>Lbs./CO2 per kBtu</t>
  </si>
  <si>
    <t>Fuel Breakdown</t>
  </si>
  <si>
    <t>kBtu / fuel Source</t>
  </si>
  <si>
    <t>Lbs./CO2 per Fuel</t>
  </si>
  <si>
    <t>Education - Other</t>
  </si>
  <si>
    <t>Education - Preschool</t>
  </si>
  <si>
    <t>Review these numbers for single family residential projects</t>
  </si>
  <si>
    <t>Food - Fast Food</t>
  </si>
  <si>
    <t>Food service</t>
  </si>
  <si>
    <t>Restaurant**</t>
  </si>
  <si>
    <t>Single Family Residential Projects:</t>
  </si>
  <si>
    <t>Food - Grocery Store</t>
  </si>
  <si>
    <t>Food sales</t>
  </si>
  <si>
    <t>Grocery Store</t>
  </si>
  <si>
    <t>Water Benchmark</t>
  </si>
  <si>
    <t>Food - Restaurant</t>
  </si>
  <si>
    <t>Energy Benchmark</t>
  </si>
  <si>
    <t>kBtu/Household/year</t>
  </si>
  <si>
    <t>Food - Sales</t>
  </si>
  <si>
    <t>Grocery Store*</t>
  </si>
  <si>
    <t>Measure 4 - Design for Water</t>
  </si>
  <si>
    <t>Carbon Benchmark</t>
  </si>
  <si>
    <t>Step 1: Indoor Water Use:
This simple calculator will give an estimate of a building's water consumption. Three uses are taken into account for this calculation, indoor water use, irrigation, and cooling. For the sake of simplicity, other water uses, such as pools or commercial kitchens are not included. If your project has had a more sophisticated water use analysis, you can skip the calculator and enter the modeled values below in section 3.
Commercial v Residential:
Choose either "Commercial" or "Residential" from the dropdown for "Water Use Profile" under section 1 of this tab and input the flow rates for the corresponding table. Residential includes single family, multifamily, and lodging.</t>
  </si>
  <si>
    <t>1 - Predicted Water Use</t>
  </si>
  <si>
    <t>Food - Service</t>
  </si>
  <si>
    <t>Step 1) Indoor Water Use</t>
  </si>
  <si>
    <t>Gallon/sf/yr by Building Type</t>
  </si>
  <si>
    <t>Laboratory</t>
  </si>
  <si>
    <t>Inpatient</t>
  </si>
  <si>
    <t>National Average Values to estimate carbon emissions</t>
  </si>
  <si>
    <t>Library</t>
  </si>
  <si>
    <t>public assembly</t>
  </si>
  <si>
    <t>Low</t>
  </si>
  <si>
    <t>High</t>
  </si>
  <si>
    <t>Lbs. CO2/kWh</t>
  </si>
  <si>
    <t>Lodging - Hotel</t>
  </si>
  <si>
    <t>Lodging</t>
  </si>
  <si>
    <t>Lbs. CO2/kBtu</t>
  </si>
  <si>
    <t>Lodging - Residence Hall</t>
  </si>
  <si>
    <t>Annual days of operations</t>
  </si>
  <si>
    <t>M Tonnes CO2/Therm</t>
  </si>
  <si>
    <t>Natural Gas</t>
  </si>
  <si>
    <t>Medical - Hospital</t>
  </si>
  <si>
    <t>Water Use Profile</t>
  </si>
  <si>
    <t>Commercial</t>
  </si>
  <si>
    <t>Enclosed and strip malls</t>
  </si>
  <si>
    <t>The table to the left contains values that are +/- 25% from the benchmark.</t>
  </si>
  <si>
    <t>Lbs. CO2 / Therm</t>
  </si>
  <si>
    <t>Medical - Office</t>
  </si>
  <si>
    <t>Health care</t>
  </si>
  <si>
    <t>Outpatient</t>
  </si>
  <si>
    <t>Step 1) Indoor Water use</t>
  </si>
  <si>
    <t>Medical - Outpatient surgery</t>
  </si>
  <si>
    <t>kg CO2/gallon</t>
  </si>
  <si>
    <t>Heating (diesel) oil</t>
  </si>
  <si>
    <t>Meeting Hall</t>
  </si>
  <si>
    <t>Occupants</t>
  </si>
  <si>
    <t>Toilet</t>
  </si>
  <si>
    <t>Urinal</t>
  </si>
  <si>
    <t>Shower</t>
  </si>
  <si>
    <t>Lavatory</t>
  </si>
  <si>
    <t>Kitchen Faucet</t>
  </si>
  <si>
    <t>lbs. CO2/gallon</t>
  </si>
  <si>
    <t>Mercantile</t>
  </si>
  <si>
    <t>Movie Theater</t>
  </si>
  <si>
    <t>Uses / day / Occupant</t>
  </si>
  <si>
    <t>Male Occupant</t>
  </si>
  <si>
    <t>lbs. CO2/kBtu</t>
  </si>
  <si>
    <t>Museum</t>
  </si>
  <si>
    <t>Propane</t>
  </si>
  <si>
    <t>Performing arts</t>
  </si>
  <si>
    <t>Post Office</t>
  </si>
  <si>
    <t>Multifamily Housing</t>
  </si>
  <si>
    <t>Typical Flow Rates</t>
  </si>
  <si>
    <t>Female Occupant</t>
  </si>
  <si>
    <t>Energy Benchmarking Sources:</t>
  </si>
  <si>
    <t>Public Safety - Police, fire, etc.</t>
  </si>
  <si>
    <t>Public safety</t>
  </si>
  <si>
    <t>Public order and safety</t>
  </si>
  <si>
    <t>CBECS: Energy Consumption by Building Type 2003</t>
  </si>
  <si>
    <t>Recreation (Visitor Center)</t>
  </si>
  <si>
    <t>Total uses / day</t>
  </si>
  <si>
    <t>Religious Worship</t>
  </si>
  <si>
    <t>Religious worship</t>
  </si>
  <si>
    <t>Religious Worship*</t>
  </si>
  <si>
    <t>LPD based on ASHRAE 90.1-2007 values</t>
  </si>
  <si>
    <t xml:space="preserve">Residential </t>
  </si>
  <si>
    <t>Residential - Assisted Living</t>
  </si>
  <si>
    <t>Multifamily</t>
  </si>
  <si>
    <t>Senior Care*</t>
  </si>
  <si>
    <t>Residential - Multifamily</t>
  </si>
  <si>
    <t>Fuel breakdown:</t>
  </si>
  <si>
    <t>Retail - Box Store</t>
  </si>
  <si>
    <t>Retail (other than mall)</t>
  </si>
  <si>
    <t>Retail*</t>
  </si>
  <si>
    <t>Total uses / Day</t>
  </si>
  <si>
    <t>Measure 5 - Design for Economy</t>
  </si>
  <si>
    <t>* if no urinal, use toilet value</t>
  </si>
  <si>
    <t>Calculators: Enter your values into the yellow cells. Enter non-numerical data into the green cells</t>
  </si>
  <si>
    <t>Sink</t>
  </si>
  <si>
    <t>Fixture Flow Rates (GPF / GPM)</t>
  </si>
  <si>
    <t>Enter the published cost to construct similar buildings in the region and list the source.</t>
  </si>
  <si>
    <t>Retail - Convenience Store</t>
  </si>
  <si>
    <t xml:space="preserve">1 - Construction cost benchmark </t>
  </si>
  <si>
    <t>Benchmark - Building Type Specific</t>
  </si>
  <si>
    <t>/sf</t>
  </si>
  <si>
    <t>Benchmark Source</t>
  </si>
  <si>
    <t>Restaurant</t>
  </si>
  <si>
    <t>Duration per use (Minute)</t>
  </si>
  <si>
    <t>Retail - General</t>
  </si>
  <si>
    <t>Actual construction cost</t>
  </si>
  <si>
    <t>Retail - Mall</t>
  </si>
  <si>
    <t>Carbon Benchmarking Sources:</t>
  </si>
  <si>
    <t>Construction cost reduction from the benchmark</t>
  </si>
  <si>
    <t>Self Storage</t>
  </si>
  <si>
    <t>Retail</t>
  </si>
  <si>
    <t>Warehouse and storage</t>
  </si>
  <si>
    <t>x</t>
  </si>
  <si>
    <t>Gallons used / day</t>
  </si>
  <si>
    <t>2 - Estimated operating cost reduction</t>
  </si>
  <si>
    <t>US Office Building O+M Cost Benchmarks (BOMA Report 2016)</t>
  </si>
  <si>
    <t>Senior Care</t>
  </si>
  <si>
    <t>Kitchen Sink</t>
  </si>
  <si>
    <t>Gallons used / year</t>
  </si>
  <si>
    <t>Services - General</t>
  </si>
  <si>
    <t>Service</t>
  </si>
  <si>
    <t>Warehouse</t>
  </si>
  <si>
    <t>Water Benchmarking Sources:</t>
  </si>
  <si>
    <t>Total indoor water use - Gallons / Day</t>
  </si>
  <si>
    <t>Operating and maintenance cost reduction strategies:</t>
  </si>
  <si>
    <t xml:space="preserve">Utilities </t>
  </si>
  <si>
    <t>/sf/yr</t>
  </si>
  <si>
    <t>From utility savings</t>
  </si>
  <si>
    <t>Warehouse - Refrigerated</t>
  </si>
  <si>
    <t>Total indoor water use - Gallons / Year</t>
  </si>
  <si>
    <t>/year</t>
  </si>
  <si>
    <t>Major Strategy</t>
  </si>
  <si>
    <t>Renewable energy</t>
  </si>
  <si>
    <t>Administrative</t>
  </si>
  <si>
    <t>From cleaning</t>
  </si>
  <si>
    <t>Cleaning</t>
  </si>
  <si>
    <t>Durability investments</t>
  </si>
  <si>
    <t>Parking</t>
  </si>
  <si>
    <t>Single Family Residential</t>
  </si>
  <si>
    <t>300 gal/household/day</t>
  </si>
  <si>
    <t>Other</t>
  </si>
  <si>
    <t>Roads and grounds</t>
  </si>
  <si>
    <t>Step 2) Irrigation Water Use</t>
  </si>
  <si>
    <t xml:space="preserve">Is potable water used for irrigation (after a two year establishment period)? </t>
  </si>
  <si>
    <t>Repairs and maintenance</t>
  </si>
  <si>
    <t xml:space="preserve">An efficient building will use fewer resources to construct, operate, and maintain. Enter the typical building efficiency ratio for the building type as a benchmark, the source of the benchmark, and the efficiency ratio achieved. </t>
  </si>
  <si>
    <t>Efficiency ratio Benchmark - Building Type Specific</t>
  </si>
  <si>
    <t>GSA</t>
  </si>
  <si>
    <t xml:space="preserve">Efficiency ratio achieved </t>
  </si>
  <si>
    <t xml:space="preserve">Efficiency ratio percent improvement </t>
  </si>
  <si>
    <t>Yes - baseline</t>
  </si>
  <si>
    <t>Is potable water used for irrigation?</t>
  </si>
  <si>
    <t>No</t>
  </si>
  <si>
    <t>No- high performing</t>
  </si>
  <si>
    <t>Step 2: Irrigation Use
Enter the total area that will be irrigated and then for each dropdown, choose the characteristic that best matches your site, plantings, and irrigation system.</t>
  </si>
  <si>
    <t>Single Family House</t>
  </si>
  <si>
    <t>Proposed Design</t>
  </si>
  <si>
    <t>Baseline #1:
 All Turf</t>
  </si>
  <si>
    <t>Baseline #2:
 All Native</t>
  </si>
  <si>
    <t>1 ) ET0 - Evapotranspiration</t>
  </si>
  <si>
    <t xml:space="preserve">Irrigation Demand Calculations </t>
  </si>
  <si>
    <t>Irrigated Area (potable or non-potable)</t>
  </si>
  <si>
    <t>Climate</t>
  </si>
  <si>
    <t>Summer (In)</t>
  </si>
  <si>
    <t>Plantings</t>
  </si>
  <si>
    <t>PF</t>
  </si>
  <si>
    <t>Summer Evapotranspiration</t>
  </si>
  <si>
    <t>Warm Humid</t>
  </si>
  <si>
    <t>kBtu/year</t>
  </si>
  <si>
    <t>Northeast Urban</t>
  </si>
  <si>
    <t>Northeast Rural</t>
  </si>
  <si>
    <t>West Urban</t>
  </si>
  <si>
    <t>West Rural</t>
  </si>
  <si>
    <t>Midwest Urban</t>
  </si>
  <si>
    <t>Midwest Rural</t>
  </si>
  <si>
    <t>South Urban</t>
  </si>
  <si>
    <t>South Rural</t>
  </si>
  <si>
    <t>Cool Humid</t>
  </si>
  <si>
    <t>Turf</t>
  </si>
  <si>
    <t>Plant Quality Factor (Qf)</t>
  </si>
  <si>
    <t>Single Family Carbon Benchmarks</t>
  </si>
  <si>
    <t>Elec</t>
  </si>
  <si>
    <t>Gas</t>
  </si>
  <si>
    <t>Fuel Oil</t>
  </si>
  <si>
    <t>Cool Dry</t>
  </si>
  <si>
    <t>Type of plantings (Plant Factor)</t>
  </si>
  <si>
    <t>Shrubs</t>
  </si>
  <si>
    <t>Annual flowers</t>
  </si>
  <si>
    <t>Irrigation efficiency</t>
  </si>
  <si>
    <t>Drip Irrigation</t>
  </si>
  <si>
    <t>Warm Dry</t>
  </si>
  <si>
    <t>Orchard - evergreen</t>
  </si>
  <si>
    <t>Hot Humid</t>
  </si>
  <si>
    <t>Orchard - deciduous</t>
  </si>
  <si>
    <t>Proposed Design Comparison</t>
  </si>
  <si>
    <t>Hot Dry</t>
  </si>
  <si>
    <t>Perennial flowers</t>
  </si>
  <si>
    <t>Month</t>
  </si>
  <si>
    <t>Irrigation Co.</t>
  </si>
  <si>
    <t>Gallons</t>
  </si>
  <si>
    <t>Ground covers</t>
  </si>
  <si>
    <t>January</t>
  </si>
  <si>
    <t>Trees</t>
  </si>
  <si>
    <t>February</t>
  </si>
  <si>
    <t>No water stress</t>
  </si>
  <si>
    <t>March</t>
  </si>
  <si>
    <t>Native plants</t>
  </si>
  <si>
    <t>April</t>
  </si>
  <si>
    <t>Water Stress</t>
  </si>
  <si>
    <t>May</t>
  </si>
  <si>
    <t>June</t>
  </si>
  <si>
    <t>July</t>
  </si>
  <si>
    <t>Drip</t>
  </si>
  <si>
    <t>August</t>
  </si>
  <si>
    <t>Sprinklers</t>
  </si>
  <si>
    <t>September</t>
  </si>
  <si>
    <t>Sprinklers, slope</t>
  </si>
  <si>
    <t>October</t>
  </si>
  <si>
    <t>November</t>
  </si>
  <si>
    <t>December</t>
  </si>
  <si>
    <t>Annual Irrigation Water Use (Gal)</t>
  </si>
  <si>
    <t>Measure 6 - Design for Energy</t>
  </si>
  <si>
    <t>Benchmarks will auto fill from the benchmarking page.</t>
  </si>
  <si>
    <t>1 - Predicted and Measured energy use</t>
  </si>
  <si>
    <t>See the Benchmarking page for reasonable ranges.</t>
  </si>
  <si>
    <t>See The benchmarking page</t>
  </si>
  <si>
    <t>Step 1: Benchmark</t>
  </si>
  <si>
    <t>Benchmark Site EUI</t>
  </si>
  <si>
    <t>kBtu/sf/yr</t>
  </si>
  <si>
    <t>Benchmark Site Annual Energy</t>
  </si>
  <si>
    <t>Gallons/sf/yr</t>
  </si>
  <si>
    <t>Gallons/yr</t>
  </si>
  <si>
    <t>Gallons / yr</t>
  </si>
  <si>
    <r>
      <t>lbs. of CO</t>
    </r>
    <r>
      <rPr>
        <vertAlign val="subscript"/>
        <sz val="10"/>
        <color rgb="FF000000"/>
        <rFont val="Calibri"/>
        <family val="2"/>
      </rPr>
      <t>2</t>
    </r>
    <r>
      <rPr>
        <sz val="10"/>
        <color rgb="FF000000"/>
        <rFont val="Calibri"/>
        <family val="2"/>
      </rPr>
      <t>/sf/yr</t>
    </r>
  </si>
  <si>
    <r>
      <t>lbs. of CO</t>
    </r>
    <r>
      <rPr>
        <vertAlign val="subscript"/>
        <sz val="10"/>
        <color rgb="FF000000"/>
        <rFont val="Calibri"/>
        <family val="2"/>
      </rPr>
      <t>2</t>
    </r>
    <r>
      <rPr>
        <sz val="10"/>
        <color rgb="FF000000"/>
        <rFont val="Calibri"/>
        <family val="2"/>
      </rPr>
      <t>/yr</t>
    </r>
  </si>
  <si>
    <t>Measured</t>
  </si>
  <si>
    <t>In most cases, the lower percent of potable water uses, the better.</t>
  </si>
  <si>
    <t>Step 2: Record Monthly Energy Use</t>
  </si>
  <si>
    <t xml:space="preserve">Step 1: Fill out the predicted energy uses, per fuel type, from an energy model.
Step 2: Fill out the measured energy uses per fuel type.
If an energy model was not completed for the project, just fill out the measured energy use. If a fuel type was not used, leave the monthly inputs as Zero. If a fuel type was used, but recorded in different units (such as Therms rather than CCF), use the conversion factors link to the right.
Enter the local energy cost for each fuel type if available. </t>
  </si>
  <si>
    <t>See the benchmarking page for reasonable ranges.</t>
  </si>
  <si>
    <t>Potable</t>
  </si>
  <si>
    <t>Predicted</t>
  </si>
  <si>
    <t>Total (Gal)</t>
  </si>
  <si>
    <t>Total Annual Gallons</t>
  </si>
  <si>
    <t>Rainfall</t>
  </si>
  <si>
    <t>Grey/Black</t>
  </si>
  <si>
    <t>Total (kBtu)</t>
  </si>
  <si>
    <t>Water Use Summary</t>
  </si>
  <si>
    <t xml:space="preserve">This table shows how the predicted water use from the calculators above compares with the benchmark.
</t>
  </si>
  <si>
    <t>Total Potable Demand</t>
  </si>
  <si>
    <t>See the Benchmarking page for Reasonable Ranges</t>
  </si>
  <si>
    <t>CO2 emissions (Lbs.) per kBtu</t>
  </si>
  <si>
    <t>Total Annual Water Use / Occupant</t>
  </si>
  <si>
    <t>Gallons/Occupant/yr</t>
  </si>
  <si>
    <t xml:space="preserve">Total CO2 Emissions </t>
  </si>
  <si>
    <t>Total Annual Water Use - Benchmark</t>
  </si>
  <si>
    <t>Total Annual Water Use / Occupant - Benchmark</t>
  </si>
  <si>
    <t>Improvement</t>
  </si>
  <si>
    <t>Step 2: Review Outputs</t>
  </si>
  <si>
    <t>Measure 7 - Design for Wellness</t>
  </si>
  <si>
    <t>Total Gross Energy (kBtu/yr)</t>
  </si>
  <si>
    <t xml:space="preserve">Step 1: Determine the area of the building that is regularly occupied.
Step 2: Input the area of occupied spaces that have access to views, operable windows, and daylight.
For quality views, include work stations that have a direct line of sight to nature. For operable windows, include work stations within 25' of an operable window. For Daylight, input a continuous daylight autonomy metric. If daylight performance wasn't simulated, input the total area within 15' from from a perimeter wall.  </t>
  </si>
  <si>
    <t>1 - Quality Views, Operable windows, &amp; Daylighting</t>
  </si>
  <si>
    <t>Views</t>
  </si>
  <si>
    <t>Operable Windows</t>
  </si>
  <si>
    <t>Stormwater Management  Calculator:
Step 1: Choose your local 24H, 2Y storm event off the table to the right. 
Step 2: Enter the total volume of onsite storage, either a cistern or a retention pond. 
Step 3: Enter the area of each type of surface.</t>
  </si>
  <si>
    <t>Total Net Energy (kBtu/yr)</t>
  </si>
  <si>
    <t>Daylight</t>
  </si>
  <si>
    <t>Total area of regularly occupied space</t>
  </si>
  <si>
    <t>Good</t>
  </si>
  <si>
    <t>&gt;75%</t>
  </si>
  <si>
    <t>2yr 24h Storm Events</t>
  </si>
  <si>
    <t>&gt;65%</t>
  </si>
  <si>
    <t>Percent of building that is regularly occupied</t>
  </si>
  <si>
    <t>Inch</t>
  </si>
  <si>
    <t>Percent from Renewable Energy</t>
  </si>
  <si>
    <t>Surface</t>
  </si>
  <si>
    <t>Runoff Co.</t>
  </si>
  <si>
    <t>&gt;90%</t>
  </si>
  <si>
    <t xml:space="preserve">Storm Events </t>
  </si>
  <si>
    <t>Area with quality views</t>
  </si>
  <si>
    <t>24H 2Yr Event (in)</t>
  </si>
  <si>
    <t>Atlanta</t>
  </si>
  <si>
    <t>Metal Roof</t>
  </si>
  <si>
    <t>0.90 - 0.95</t>
  </si>
  <si>
    <t>Gross EUI (kBtu/sf/yr)</t>
  </si>
  <si>
    <t>&gt;85%</t>
  </si>
  <si>
    <t>Area with operable windows</t>
  </si>
  <si>
    <t>24H 2Yr Event (ft)</t>
  </si>
  <si>
    <t>Area served primarily by daylighting</t>
  </si>
  <si>
    <t>Chicago</t>
  </si>
  <si>
    <t>Asphalt Roof</t>
  </si>
  <si>
    <t>0.85 - 0.90</t>
  </si>
  <si>
    <t>This resource is a bit out of date, but is still useful if location specific rainfall data is not available</t>
  </si>
  <si>
    <t>Net EUI (kBtu/sf/yr)</t>
  </si>
  <si>
    <t>Daylight sensors installed?</t>
  </si>
  <si>
    <t>Rainwater Storage (cf)</t>
  </si>
  <si>
    <t>Cleveland</t>
  </si>
  <si>
    <t>Gravel Roof</t>
  </si>
  <si>
    <t>0.80 - 0.85</t>
  </si>
  <si>
    <t>Are operable windows used?</t>
  </si>
  <si>
    <t>Cubic Feet</t>
  </si>
  <si>
    <t>Input the total number of accessible thermostats and the percent of occupants who control their own light levels.</t>
  </si>
  <si>
    <t xml:space="preserve">2 - Occupants Per thermostat, Occupants who can control their own lighting   </t>
  </si>
  <si>
    <t>Dallas</t>
  </si>
  <si>
    <t>Green Roof</t>
  </si>
  <si>
    <t>0.25 - 0.50</t>
  </si>
  <si>
    <t>Net Energy percent reduction from Benchmark</t>
  </si>
  <si>
    <t>Task lights</t>
  </si>
  <si>
    <t>Runoff Coefficient</t>
  </si>
  <si>
    <t>Individual light control</t>
  </si>
  <si>
    <t>Thermostats</t>
  </si>
  <si>
    <t>Area (sf)</t>
  </si>
  <si>
    <t>Stormwater</t>
  </si>
  <si>
    <t>Total accessible thermostats</t>
  </si>
  <si>
    <t>Thermostat</t>
  </si>
  <si>
    <t>no</t>
  </si>
  <si>
    <t>none</t>
  </si>
  <si>
    <r>
      <t>Total Net CO</t>
    </r>
    <r>
      <rPr>
        <b/>
        <vertAlign val="subscript"/>
        <sz val="10"/>
        <color rgb="FF000000"/>
        <rFont val="Calibri"/>
        <family val="2"/>
      </rPr>
      <t>2</t>
    </r>
    <r>
      <rPr>
        <b/>
        <sz val="10"/>
        <color rgb="FF000000"/>
        <rFont val="Calibri"/>
        <family val="2"/>
      </rPr>
      <t xml:space="preserve"> Emissions (Lbs./yr)</t>
    </r>
  </si>
  <si>
    <t>Total Runoff</t>
  </si>
  <si>
    <t>Smaller numbers are better</t>
  </si>
  <si>
    <t>Denver</t>
  </si>
  <si>
    <t>Concrete</t>
  </si>
  <si>
    <t>0.70 - 0.95</t>
  </si>
  <si>
    <t xml:space="preserve">Runoff </t>
  </si>
  <si>
    <t>Roof</t>
  </si>
  <si>
    <t>Occupants per thermostat</t>
  </si>
  <si>
    <r>
      <t>Net CO</t>
    </r>
    <r>
      <rPr>
        <b/>
        <vertAlign val="subscript"/>
        <sz val="10"/>
        <color rgb="FF000000"/>
        <rFont val="Calibri"/>
        <family val="2"/>
      </rPr>
      <t>2</t>
    </r>
    <r>
      <rPr>
        <b/>
        <sz val="10"/>
        <color rgb="FF000000"/>
        <rFont val="Calibri"/>
        <family val="2"/>
      </rPr>
      <t xml:space="preserve"> Emissions (Lbs./sf/yr)</t>
    </r>
  </si>
  <si>
    <t>Helena</t>
  </si>
  <si>
    <t>Asphalt</t>
  </si>
  <si>
    <t>Do occupants have task lights?</t>
  </si>
  <si>
    <t>Percent of occupants who control their own light levels</t>
  </si>
  <si>
    <t>Impervious</t>
  </si>
  <si>
    <r>
      <t>CO</t>
    </r>
    <r>
      <rPr>
        <b/>
        <vertAlign val="subscript"/>
        <sz val="10"/>
        <color rgb="FF000000"/>
        <rFont val="Calibri"/>
        <family val="2"/>
      </rPr>
      <t>2</t>
    </r>
    <r>
      <rPr>
        <b/>
        <sz val="10"/>
        <color rgb="FF000000"/>
        <rFont val="Calibri"/>
        <family val="2"/>
      </rPr>
      <t xml:space="preserve"> Percent reduction from Benchmark</t>
    </r>
  </si>
  <si>
    <t>Houston</t>
  </si>
  <si>
    <t>Bricks</t>
  </si>
  <si>
    <t>0.70 - 0.85</t>
  </si>
  <si>
    <t xml:space="preserve">This resource goes into detail on surface conditions and soil type </t>
  </si>
  <si>
    <t>Input information on indoor air quality measurements.</t>
  </si>
  <si>
    <t>Las Vegas</t>
  </si>
  <si>
    <t>Pavers</t>
  </si>
  <si>
    <t>0.60 - 0.80</t>
  </si>
  <si>
    <t>3 - CO2 &amp; VOCs</t>
  </si>
  <si>
    <t>Max. concentration</t>
  </si>
  <si>
    <t>Native Plantings</t>
  </si>
  <si>
    <t>Net operating cost ($)</t>
  </si>
  <si>
    <t>Los Angeles</t>
  </si>
  <si>
    <t>0.15- 0.30</t>
  </si>
  <si>
    <t>Semi-Pervious</t>
  </si>
  <si>
    <t>Memphis</t>
  </si>
  <si>
    <t>0.05 - 0.25</t>
  </si>
  <si>
    <t>Sub Total</t>
  </si>
  <si>
    <t>Contaminant</t>
  </si>
  <si>
    <t>All Spaces</t>
  </si>
  <si>
    <t>Healthcare</t>
  </si>
  <si>
    <r>
      <t>Goal Maximum CO</t>
    </r>
    <r>
      <rPr>
        <vertAlign val="subscript"/>
        <sz val="10"/>
        <color rgb="FF000000"/>
        <rFont val="Calibri"/>
        <family val="2"/>
      </rPr>
      <t>2</t>
    </r>
    <r>
      <rPr>
        <sz val="10"/>
        <color rgb="FF000000"/>
        <rFont val="Calibri"/>
        <family val="2"/>
      </rPr>
      <t xml:space="preserve"> levels</t>
    </r>
  </si>
  <si>
    <t>ppm</t>
  </si>
  <si>
    <t>Particulates</t>
  </si>
  <si>
    <r>
      <t>PM</t>
    </r>
    <r>
      <rPr>
        <vertAlign val="subscript"/>
        <sz val="10"/>
        <color rgb="FF000000"/>
        <rFont val="Calibri"/>
        <family val="2"/>
      </rPr>
      <t xml:space="preserve">10 </t>
    </r>
  </si>
  <si>
    <r>
      <t>ug/m</t>
    </r>
    <r>
      <rPr>
        <vertAlign val="superscript"/>
        <sz val="10"/>
        <color rgb="FF000000"/>
        <rFont val="Calibri"/>
        <family val="2"/>
      </rPr>
      <t>3</t>
    </r>
  </si>
  <si>
    <r>
      <t>Is CO</t>
    </r>
    <r>
      <rPr>
        <vertAlign val="subscript"/>
        <sz val="10"/>
        <color rgb="FF000000"/>
        <rFont val="Calibri"/>
        <family val="2"/>
      </rPr>
      <t>2</t>
    </r>
    <r>
      <rPr>
        <sz val="10"/>
        <color rgb="FF000000"/>
        <rFont val="Calibri"/>
        <family val="2"/>
      </rPr>
      <t xml:space="preserve"> measured?</t>
    </r>
  </si>
  <si>
    <t>Miami</t>
  </si>
  <si>
    <r>
      <t>PM</t>
    </r>
    <r>
      <rPr>
        <vertAlign val="subscript"/>
        <sz val="10"/>
        <color rgb="FF000000"/>
        <rFont val="Calibri"/>
        <family val="2"/>
      </rPr>
      <t>2.5</t>
    </r>
    <r>
      <rPr>
        <sz val="10"/>
        <color rgb="FF000000"/>
        <rFont val="Calibri"/>
        <family val="2"/>
      </rPr>
      <t xml:space="preserve"> </t>
    </r>
  </si>
  <si>
    <t>Sandy soil</t>
  </si>
  <si>
    <t>Step 1: Calculate the total installed lighting power density for your building.
Step 2: Determine an appropriate benchmark for the space type from IECC 2015.</t>
  </si>
  <si>
    <r>
      <t>ug/m</t>
    </r>
    <r>
      <rPr>
        <vertAlign val="superscript"/>
        <sz val="10"/>
        <color rgb="FF000000"/>
        <rFont val="Calibri"/>
        <family val="2"/>
      </rPr>
      <t>3</t>
    </r>
  </si>
  <si>
    <t>After Storage</t>
  </si>
  <si>
    <t xml:space="preserve"> 2 - Lighting Power Density</t>
  </si>
  <si>
    <t>Use IECC 2015 as the benchmark</t>
  </si>
  <si>
    <r>
      <t>Maximum Measured CO</t>
    </r>
    <r>
      <rPr>
        <vertAlign val="subscript"/>
        <sz val="10"/>
        <color rgb="FF000000"/>
        <rFont val="Calibri"/>
        <family val="2"/>
      </rPr>
      <t>2</t>
    </r>
    <r>
      <rPr>
        <sz val="10"/>
        <color rgb="FF000000"/>
        <rFont val="Calibri"/>
        <family val="2"/>
      </rPr>
      <t xml:space="preserve"> levels</t>
    </r>
  </si>
  <si>
    <t>Ozone</t>
  </si>
  <si>
    <r>
      <t>O</t>
    </r>
    <r>
      <rPr>
        <vertAlign val="subscript"/>
        <sz val="10"/>
        <color rgb="FF000000"/>
        <rFont val="Calibri"/>
        <family val="2"/>
      </rPr>
      <t>3</t>
    </r>
  </si>
  <si>
    <t>Is VOC measured?</t>
  </si>
  <si>
    <t>Carbon monoxide</t>
  </si>
  <si>
    <t>CO</t>
  </si>
  <si>
    <t>Maximum Measured VOC levels</t>
  </si>
  <si>
    <t>ppb</t>
  </si>
  <si>
    <t>volatile organic compounds</t>
  </si>
  <si>
    <t>New York</t>
  </si>
  <si>
    <t>VOCs</t>
  </si>
  <si>
    <t>Clay-y soil</t>
  </si>
  <si>
    <t>0.15 - 0.45</t>
  </si>
  <si>
    <r>
      <t>ug/m</t>
    </r>
    <r>
      <rPr>
        <vertAlign val="superscript"/>
        <sz val="10"/>
        <color rgb="FF000000"/>
        <rFont val="Calibri"/>
        <family val="2"/>
      </rPr>
      <t>3</t>
    </r>
  </si>
  <si>
    <t>Total Percent Managed Onsite</t>
  </si>
  <si>
    <t>Formaldehyde</t>
  </si>
  <si>
    <t xml:space="preserve">Installed Lighting Power Density </t>
  </si>
  <si>
    <r>
      <t>CH</t>
    </r>
    <r>
      <rPr>
        <vertAlign val="subscript"/>
        <sz val="10"/>
        <color rgb="FF000000"/>
        <rFont val="Calibri"/>
        <family val="2"/>
      </rPr>
      <t>2</t>
    </r>
    <r>
      <rPr>
        <sz val="10"/>
        <color rgb="FF000000"/>
        <rFont val="Calibri"/>
        <family val="2"/>
      </rPr>
      <t>O</t>
    </r>
  </si>
  <si>
    <t>Best practice is to achieve at least a 20% reduction from the benchmark</t>
  </si>
  <si>
    <t>Philadelphia</t>
  </si>
  <si>
    <t>Forest</t>
  </si>
  <si>
    <t>Benchmark Lighting power Density</t>
  </si>
  <si>
    <t xml:space="preserve">Water Runoff Quality Score:
Choose the most applicable option from the dropdown. This is a simple way to self assess the quality of stormwater leaving the site. </t>
  </si>
  <si>
    <t>Generally, the more certified materials, the better.</t>
  </si>
  <si>
    <t>Lighting Power density reduction</t>
  </si>
  <si>
    <t>Estimated Water Runoff Quality (Choose one)</t>
  </si>
  <si>
    <t>Materials with health certifications</t>
  </si>
  <si>
    <t>Materials</t>
  </si>
  <si>
    <t>Notable Material 1</t>
  </si>
  <si>
    <t>Record your building's window wall ratio.</t>
  </si>
  <si>
    <t>Certification</t>
  </si>
  <si>
    <t>3 - Window Wall Ratio</t>
  </si>
  <si>
    <t>Notable Material 2</t>
  </si>
  <si>
    <t>30% to 40% is ideal. A higher WWR will significantly increase energy use without improving daylighting.</t>
  </si>
  <si>
    <t>Notable Material 3</t>
  </si>
  <si>
    <t>Estimated Water Runoff Quality (Score 1-5)</t>
  </si>
  <si>
    <t>Notable Material 4</t>
  </si>
  <si>
    <t>Notable Material 5</t>
  </si>
  <si>
    <t>Notable Material 6</t>
  </si>
  <si>
    <t>Notable Material 7</t>
  </si>
  <si>
    <t>Notable Material 8</t>
  </si>
  <si>
    <t>Window Wall Ratio (WWR)</t>
  </si>
  <si>
    <t>Notable Material 9</t>
  </si>
  <si>
    <t>Measure 8 - Resources</t>
  </si>
  <si>
    <t xml:space="preserve">There are a variety of tools for estimating the embodied carbon of an entire building. The simplest is Build Carbon Neutral, which only takes a few minutes and inputs. For a more detailed analysis, try Talley or Athena </t>
  </si>
  <si>
    <t>1 - Embodied Energy</t>
  </si>
  <si>
    <r>
      <t>lbs. CO</t>
    </r>
    <r>
      <rPr>
        <vertAlign val="subscript"/>
        <sz val="10"/>
        <color rgb="FF000000"/>
        <rFont val="Calibri"/>
        <family val="2"/>
      </rPr>
      <t>2</t>
    </r>
    <r>
      <rPr>
        <sz val="10"/>
        <color rgb="FF000000"/>
        <rFont val="Calibri"/>
        <family val="2"/>
      </rPr>
      <t>/sf</t>
    </r>
  </si>
  <si>
    <r>
      <t>Metric Tonnes CO</t>
    </r>
    <r>
      <rPr>
        <vertAlign val="subscript"/>
        <sz val="10"/>
        <color rgb="FF000000"/>
        <rFont val="Calibri"/>
        <family val="2"/>
      </rPr>
      <t>2</t>
    </r>
    <r>
      <rPr>
        <sz val="10"/>
        <color rgb="FF000000"/>
        <rFont val="Calibri"/>
        <family val="2"/>
      </rPr>
      <t>/sf</t>
    </r>
  </si>
  <si>
    <t>Average</t>
  </si>
  <si>
    <t xml:space="preserve">Use the below link to determine the total embodied energy:  </t>
  </si>
  <si>
    <t xml:space="preserve">Single family </t>
  </si>
  <si>
    <t>Metric tonnes of Carbon Dioxide (from buildcarbonneutral.org, Tally...)</t>
  </si>
  <si>
    <t>Multifamily low-rise</t>
  </si>
  <si>
    <t>Lbs. of Carbon Dioxide</t>
  </si>
  <si>
    <t>Multifamily mid-rise</t>
  </si>
  <si>
    <t>Lbs. of Carbon Dioxide / sf</t>
  </si>
  <si>
    <t>Multifamily high-rise</t>
  </si>
  <si>
    <t>Embodied energy Benchmark</t>
  </si>
  <si>
    <t>Embodied energy reduction from Benchmark</t>
  </si>
  <si>
    <t>Educational</t>
  </si>
  <si>
    <t>Cultural/Institutional</t>
  </si>
  <si>
    <t>This can be from any tool and taken to any depth</t>
  </si>
  <si>
    <t>2 - Life Cycle Analysis</t>
  </si>
  <si>
    <t>Civic building</t>
  </si>
  <si>
    <t>Was a full building life cycle analysis performed?</t>
  </si>
  <si>
    <t>Industrial</t>
  </si>
  <si>
    <t>What Software was used?</t>
  </si>
  <si>
    <t>Major Structural System?</t>
  </si>
  <si>
    <t>Mixed Use (Residential/Office/Retail)</t>
  </si>
  <si>
    <t>Major strategy for reducing embodied carbon?</t>
  </si>
  <si>
    <t>3 - Number of Materials Specified with EPDs (or similar)</t>
  </si>
  <si>
    <t>For materials with EPDs or similar certification, the more the better.</t>
  </si>
  <si>
    <t>Measure 9 - Change</t>
  </si>
  <si>
    <t>Materials with EPDs</t>
  </si>
  <si>
    <t>How much floor area was already existing?</t>
  </si>
  <si>
    <t>1 - Percent of Reused Floor Area</t>
  </si>
  <si>
    <t xml:space="preserve">Whenever possible, existing buildings should be reused. </t>
  </si>
  <si>
    <t xml:space="preserve">Total floor area reused </t>
  </si>
  <si>
    <t>Percent reused</t>
  </si>
  <si>
    <t>Choose the most relevant description of passive functionality from the dropdown.</t>
  </si>
  <si>
    <t>2 - Days the Building Can Function Without Power</t>
  </si>
  <si>
    <t xml:space="preserve">Weighing and recording dumpster fills during construction is best practice, but a good estimate will do as well.  </t>
  </si>
  <si>
    <t>Passive Functionality</t>
  </si>
  <si>
    <t>4 - Construction Waste Diverted</t>
  </si>
  <si>
    <t>Percent Waste Diverted</t>
  </si>
  <si>
    <t>LBC: Very High Performing thresholds</t>
  </si>
  <si>
    <t>Baseline modern building (w/o operable windows)</t>
  </si>
  <si>
    <t xml:space="preserve"> Choose one</t>
  </si>
  <si>
    <t>50% - Good</t>
  </si>
  <si>
    <t>Metals</t>
  </si>
  <si>
    <t>Percent of construction waste diverted from the landfill</t>
  </si>
  <si>
    <t>Measure 10 - Discovery</t>
  </si>
  <si>
    <t>Passive strategies  - This is adequate for many buildings</t>
  </si>
  <si>
    <t>Relative ranking (Score 1-4)</t>
  </si>
  <si>
    <t>75% - Better</t>
  </si>
  <si>
    <t>Paper and Cardboard</t>
  </si>
  <si>
    <t>Select all the post occupancy strategies that were employed.</t>
  </si>
  <si>
    <t>How the above was the above number determined?</t>
  </si>
  <si>
    <t>Estimated</t>
  </si>
  <si>
    <t>1 - Level of Post Occupancy Engagement</t>
  </si>
  <si>
    <t>The higher the score, the better</t>
  </si>
  <si>
    <t>Which of the following did you do to stay engaged with the building?</t>
  </si>
  <si>
    <t>90% - Best!</t>
  </si>
  <si>
    <t>Soil and Biomass</t>
  </si>
  <si>
    <t>Rigid foam / Carpet / Insulation</t>
  </si>
  <si>
    <t>Notable Strategy</t>
  </si>
  <si>
    <t xml:space="preserve">Backup power for necessary uses </t>
  </si>
  <si>
    <t>Fully functional without the grid</t>
  </si>
  <si>
    <t xml:space="preserve">All Other Materials </t>
  </si>
  <si>
    <t>Contact the owner / Occupant to see how things are going</t>
  </si>
  <si>
    <t>Input the building's design lifespan. The design lifespan is based on a variety of design choices such as material durability, functional adaptability, and water management.</t>
  </si>
  <si>
    <t>3 - Building Lifespan</t>
  </si>
  <si>
    <t>Building Design Lifespan</t>
  </si>
  <si>
    <t>Formal post occupancy air quality testing</t>
  </si>
  <si>
    <t>30 year</t>
  </si>
  <si>
    <t>Market rate stick frame</t>
  </si>
  <si>
    <t>Building design lifespan</t>
  </si>
  <si>
    <t>Obtain utility bill to determine actual performance</t>
  </si>
  <si>
    <t xml:space="preserve">5 - Recycled Materials, Regional Materials, &amp; Materials with Third Party Certifications </t>
  </si>
  <si>
    <t>Data logging of indoor environmental measurements</t>
  </si>
  <si>
    <t>Years</t>
  </si>
  <si>
    <t>50 years</t>
  </si>
  <si>
    <t>Typical single family</t>
  </si>
  <si>
    <t>Survey building occupants on satisfaction</t>
  </si>
  <si>
    <t>Was the building designed for disassembly?</t>
  </si>
  <si>
    <t>Post occupancy energy analysis</t>
  </si>
  <si>
    <t>Formal onsite daylight measurements</t>
  </si>
  <si>
    <t>200 years</t>
  </si>
  <si>
    <t>Develop and share strategies to improve the building's Performance</t>
  </si>
  <si>
    <t>Concrete, Steel, or Heavy timber</t>
  </si>
  <si>
    <t>Share collected data with building occupants</t>
  </si>
  <si>
    <t>1000 years</t>
  </si>
  <si>
    <t>Solid Masonry</t>
  </si>
  <si>
    <t xml:space="preserve">Teach occupants and operators how to improve building performance  </t>
  </si>
  <si>
    <t>Notable longevity Strategy</t>
  </si>
  <si>
    <t>Post Occupancy Engagement Score</t>
  </si>
  <si>
    <t>Percent</t>
  </si>
  <si>
    <t>Total cost of recycled materials</t>
  </si>
  <si>
    <t>Select all the transparency strategies that were employed.</t>
  </si>
  <si>
    <t>For the most part, the longer the lifespan, the better.</t>
  </si>
  <si>
    <t>2 - Level of Transparency</t>
  </si>
  <si>
    <t>Which of the following did you do to share the lessons of the project?</t>
  </si>
  <si>
    <t>Total cost of regional materials</t>
  </si>
  <si>
    <t>Present the design of the project to the office</t>
  </si>
  <si>
    <t>Notable Regional Material</t>
  </si>
  <si>
    <t>Source Location</t>
  </si>
  <si>
    <t>Publish  post occupancy data from the building</t>
  </si>
  <si>
    <t>Present the design of the project to the public</t>
  </si>
  <si>
    <t>Publish any lessons learned from design, construction, or occupancy</t>
  </si>
  <si>
    <t>Present outcomes and lessons learned to the office</t>
  </si>
  <si>
    <t>other:</t>
  </si>
  <si>
    <t>Present outcomes and lessons learned to the public</t>
  </si>
  <si>
    <t>Transparency score</t>
  </si>
  <si>
    <t>Select the level of occupancy feedback.</t>
  </si>
  <si>
    <t>3 - Level of Occupant feedback</t>
  </si>
  <si>
    <t xml:space="preserve">Baseline </t>
  </si>
  <si>
    <t>Fine</t>
  </si>
  <si>
    <t>Relative ranking (Score 0-5)</t>
  </si>
  <si>
    <t>COTE Top Ten Toolkit Super Spreadsheet</t>
  </si>
  <si>
    <t>The summary page displays the outputs for every measure.</t>
  </si>
  <si>
    <t>Measure 1 - Design for Integration</t>
  </si>
  <si>
    <t>2.1</t>
  </si>
  <si>
    <t>Walk Score</t>
  </si>
  <si>
    <t>2.2</t>
  </si>
  <si>
    <t>Community Engagement Score</t>
  </si>
  <si>
    <t>Level of community Engagement (1=low, 7=high)</t>
  </si>
  <si>
    <t>2.3</t>
  </si>
  <si>
    <t>Alternative Transportation Percentage</t>
  </si>
  <si>
    <t>Alternative Commuters</t>
  </si>
  <si>
    <t>2.4</t>
  </si>
  <si>
    <t>Transportation carbon - Annual Carbon / Occupant</t>
  </si>
  <si>
    <t>Transportation carbon - Total Annual Carbon</t>
  </si>
  <si>
    <t>Transportation carbon - Percent Reduction</t>
  </si>
  <si>
    <t>Reduction of Transportation Carbon</t>
  </si>
  <si>
    <t>2.5</t>
  </si>
  <si>
    <t>Reduction of Parking Spaces</t>
  </si>
  <si>
    <t>2.6</t>
  </si>
  <si>
    <t>Bicycle Infrastructure - Bike Racks</t>
  </si>
  <si>
    <t>of occupants get a bike Rack</t>
  </si>
  <si>
    <t>Bicycle Infrastructure - Showers</t>
  </si>
  <si>
    <t>of occupants can shower simultaneously</t>
  </si>
  <si>
    <t>3.1</t>
  </si>
  <si>
    <t>Vegetated site area - Post Development</t>
  </si>
  <si>
    <t>Of site vegetated (Post-development)</t>
  </si>
  <si>
    <t>3.2</t>
  </si>
  <si>
    <t>Vegetated site area - Pre Development</t>
  </si>
  <si>
    <t>Of site vegetated (Pre-development)</t>
  </si>
  <si>
    <t>Vegetated area increase</t>
  </si>
  <si>
    <t>Change in vegetated area (Post-development)</t>
  </si>
  <si>
    <t>3.3</t>
  </si>
  <si>
    <t>Native plantings - Percent of total</t>
  </si>
  <si>
    <t>Of total site dedicated to native plantings</t>
  </si>
  <si>
    <t>Native plantings - Percent of vegetation</t>
  </si>
  <si>
    <t>Of vegetated area dedicated to native plantings</t>
  </si>
  <si>
    <t>4.1</t>
  </si>
  <si>
    <t>Water use per occupant - Predicted Annual</t>
  </si>
  <si>
    <t xml:space="preserve">Gallons of potable water used / occupant / year </t>
  </si>
  <si>
    <t>Water use per occupant - Predicted Daily</t>
  </si>
  <si>
    <t>Gallons of potable water used / occupant / day</t>
  </si>
  <si>
    <t>Water Use Intensity - Predicted</t>
  </si>
  <si>
    <t>Gallons of potable water used / sqft / day</t>
  </si>
  <si>
    <t>4.4</t>
  </si>
  <si>
    <t>Percent rainwater use - Predicted</t>
  </si>
  <si>
    <t>Of total water use is from collected rainwater</t>
  </si>
  <si>
    <t>4.5</t>
  </si>
  <si>
    <t>Percent grey/black water use - Predicted</t>
  </si>
  <si>
    <t>Of total water use is from grey or blackwater</t>
  </si>
  <si>
    <t>Potable water reduction</t>
  </si>
  <si>
    <t>4.3</t>
  </si>
  <si>
    <t>Water use per occupant - Measured Annual</t>
  </si>
  <si>
    <t>Water use per occupant - Measured Daily</t>
  </si>
  <si>
    <t xml:space="preserve">Gallons of potable water used / occupant / day </t>
  </si>
  <si>
    <t>Water use intensity- Measured</t>
  </si>
  <si>
    <t xml:space="preserve">Gallons of potable water used / sf / day </t>
  </si>
  <si>
    <t>Percent rainwater use - Measured</t>
  </si>
  <si>
    <t>Percent grey/black water use - Measured</t>
  </si>
  <si>
    <t>4.2</t>
  </si>
  <si>
    <t>Potable water used for Irrigation?</t>
  </si>
  <si>
    <t>4.6</t>
  </si>
  <si>
    <t xml:space="preserve">Rainwater managed onsite </t>
  </si>
  <si>
    <t>Of stormwater managed onsite</t>
  </si>
  <si>
    <t>4.7</t>
  </si>
  <si>
    <t>Estimated runoff quality</t>
  </si>
  <si>
    <t>Water quality score (1=low, 5=high)</t>
  </si>
  <si>
    <t>5.1</t>
  </si>
  <si>
    <t>Dollar (USD) / sf</t>
  </si>
  <si>
    <t>5.2</t>
  </si>
  <si>
    <t>Benchmark Construction cost</t>
  </si>
  <si>
    <t>Efficiency ratio achieved</t>
  </si>
  <si>
    <t>Net to Gross</t>
  </si>
  <si>
    <t>6.1</t>
  </si>
  <si>
    <t>Net site EUI - Predicted</t>
  </si>
  <si>
    <t xml:space="preserve">kBtu/sf/yr </t>
  </si>
  <si>
    <t>6.2</t>
  </si>
  <si>
    <t>Gross site EUI - Predicted</t>
  </si>
  <si>
    <t>6.3</t>
  </si>
  <si>
    <t>Net energy reduction from Benchmark</t>
  </si>
  <si>
    <t>Net Energy Reduction</t>
  </si>
  <si>
    <t>Carbon emissions / sf - Predicted</t>
  </si>
  <si>
    <r>
      <t>Lbs. of CO</t>
    </r>
    <r>
      <rPr>
        <vertAlign val="subscript"/>
        <sz val="10"/>
        <color rgb="FF000000"/>
        <rFont val="Calibri"/>
        <family val="2"/>
      </rPr>
      <t>2</t>
    </r>
    <r>
      <rPr>
        <sz val="10"/>
        <color rgb="FF000000"/>
        <rFont val="Calibri"/>
        <family val="2"/>
      </rPr>
      <t>/sf/yr</t>
    </r>
  </si>
  <si>
    <r>
      <t>CO</t>
    </r>
    <r>
      <rPr>
        <vertAlign val="subscript"/>
        <sz val="10"/>
        <color rgb="FF000000"/>
        <rFont val="Calibri"/>
        <family val="2"/>
      </rPr>
      <t>2</t>
    </r>
    <r>
      <rPr>
        <sz val="10"/>
        <color rgb="FF000000"/>
        <rFont val="Calibri"/>
        <family val="2"/>
      </rPr>
      <t xml:space="preserve"> Percent reduction from Benchmark</t>
    </r>
  </si>
  <si>
    <t>6.7</t>
  </si>
  <si>
    <t>Net site EUI - Measured</t>
  </si>
  <si>
    <t>6.8</t>
  </si>
  <si>
    <t>Gross site EUI - Measured</t>
  </si>
  <si>
    <t>6.9</t>
  </si>
  <si>
    <t>Carbon emissions / sf - Measured</t>
  </si>
  <si>
    <r>
      <t>Lbs. of CO</t>
    </r>
    <r>
      <rPr>
        <vertAlign val="subscript"/>
        <sz val="10"/>
        <color rgb="FF000000"/>
        <rFont val="Calibri"/>
        <family val="2"/>
      </rPr>
      <t>2</t>
    </r>
    <r>
      <rPr>
        <sz val="10"/>
        <color rgb="FF000000"/>
        <rFont val="Calibri"/>
        <family val="2"/>
      </rPr>
      <t>/sf/yr</t>
    </r>
  </si>
  <si>
    <r>
      <t>CO</t>
    </r>
    <r>
      <rPr>
        <vertAlign val="subscript"/>
        <sz val="10"/>
        <color rgb="FF000000"/>
        <rFont val="Calibri"/>
        <family val="2"/>
      </rPr>
      <t>2</t>
    </r>
    <r>
      <rPr>
        <sz val="10"/>
        <color rgb="FF000000"/>
        <rFont val="Calibri"/>
        <family val="2"/>
      </rPr>
      <t xml:space="preserve"> Percent reduction from Benchmark</t>
    </r>
  </si>
  <si>
    <t>6.5</t>
  </si>
  <si>
    <t xml:space="preserve">Lighting Power Density </t>
  </si>
  <si>
    <t>6.6</t>
  </si>
  <si>
    <t>Lighting Power Density  % Reduction</t>
  </si>
  <si>
    <t>7.1</t>
  </si>
  <si>
    <t>Quality views</t>
  </si>
  <si>
    <t>Occupied area with quality views</t>
  </si>
  <si>
    <t>7.2</t>
  </si>
  <si>
    <t>Operable windows</t>
  </si>
  <si>
    <t>Occupied area with operable windows</t>
  </si>
  <si>
    <t>7.3</t>
  </si>
  <si>
    <t>Daylight autonomy</t>
  </si>
  <si>
    <t>Occupied area served primarily by daylight</t>
  </si>
  <si>
    <t>7.4</t>
  </si>
  <si>
    <t>Individual thermal control</t>
  </si>
  <si>
    <t>7.5</t>
  </si>
  <si>
    <t>Individual lighting control</t>
  </si>
  <si>
    <t>Occupants who control their own lighting</t>
  </si>
  <si>
    <t>7.6</t>
  </si>
  <si>
    <r>
      <t>Peak measured CO</t>
    </r>
    <r>
      <rPr>
        <vertAlign val="subscript"/>
        <sz val="10"/>
        <color rgb="FF000000"/>
        <rFont val="Calibri"/>
        <family val="2"/>
      </rPr>
      <t>2</t>
    </r>
  </si>
  <si>
    <t>7.7</t>
  </si>
  <si>
    <t>Peak measured VOC</t>
  </si>
  <si>
    <t>7.8</t>
  </si>
  <si>
    <t>Measure 8 - Design for Resources</t>
  </si>
  <si>
    <t>8.1</t>
  </si>
  <si>
    <r>
      <t>Embodied energy  - CO</t>
    </r>
    <r>
      <rPr>
        <vertAlign val="subscript"/>
        <sz val="10"/>
        <color rgb="FF000000"/>
        <rFont val="Calibri"/>
        <family val="2"/>
      </rPr>
      <t>2</t>
    </r>
    <r>
      <rPr>
        <sz val="10"/>
        <color rgb="FF000000"/>
        <rFont val="Calibri"/>
        <family val="2"/>
      </rPr>
      <t xml:space="preserve">/sf </t>
    </r>
  </si>
  <si>
    <t>8.2</t>
  </si>
  <si>
    <r>
      <t>Embodied energy - Total CO</t>
    </r>
    <r>
      <rPr>
        <vertAlign val="subscript"/>
        <sz val="10"/>
        <color rgb="FF000000"/>
        <rFont val="Calibri"/>
        <family val="2"/>
      </rPr>
      <t>2</t>
    </r>
    <r>
      <rPr>
        <sz val="10"/>
        <color rgb="FF000000"/>
        <rFont val="Calibri"/>
        <family val="2"/>
      </rPr>
      <t xml:space="preserve"> </t>
    </r>
  </si>
  <si>
    <t>Lbs. of Carbon Dioxide - total</t>
  </si>
  <si>
    <t>Embodied energy reduction from benchmark</t>
  </si>
  <si>
    <t>8.3</t>
  </si>
  <si>
    <t>Life cycle analysis conducted - Y/N</t>
  </si>
  <si>
    <t>8.4</t>
  </si>
  <si>
    <t xml:space="preserve">Number of EPDs Collected </t>
  </si>
  <si>
    <t>8.5</t>
  </si>
  <si>
    <t>% of construction waste diverted</t>
  </si>
  <si>
    <t>8.6</t>
  </si>
  <si>
    <t xml:space="preserve">% of recycled content of building materials </t>
  </si>
  <si>
    <t>8.7</t>
  </si>
  <si>
    <t>% of regional materials</t>
  </si>
  <si>
    <t>8.8</t>
  </si>
  <si>
    <t>Measure 9 - Design for Change</t>
  </si>
  <si>
    <t>9.1</t>
  </si>
  <si>
    <t>% of reused floor area</t>
  </si>
  <si>
    <t>9.2</t>
  </si>
  <si>
    <t>Functionality without power (relative score)</t>
  </si>
  <si>
    <t>1=low, 4=high</t>
  </si>
  <si>
    <t>9.3</t>
  </si>
  <si>
    <t>Percent onsite generation</t>
  </si>
  <si>
    <t>9.4</t>
  </si>
  <si>
    <t>Carbon emissions saved from adaptive reuse</t>
  </si>
  <si>
    <r>
      <t>Total Lbs. of CO</t>
    </r>
    <r>
      <rPr>
        <vertAlign val="subscript"/>
        <sz val="10"/>
        <color rgb="FF000000"/>
        <rFont val="Calibri"/>
        <family val="2"/>
      </rPr>
      <t>2</t>
    </r>
  </si>
  <si>
    <t>9.5</t>
  </si>
  <si>
    <t xml:space="preserve">Building design lifespan </t>
  </si>
  <si>
    <t>Measure 10 - Design for Discovery</t>
  </si>
  <si>
    <t>10.</t>
  </si>
  <si>
    <t xml:space="preserve"> Level of post occupancy evaluation</t>
  </si>
  <si>
    <t xml:space="preserve"> Level of Knowledge distribution / transparency</t>
  </si>
  <si>
    <t xml:space="preserve"> Level of Feedback (Ongoing discovery)</t>
  </si>
  <si>
    <t>Feedback Score (0=low, 5=high)</t>
  </si>
  <si>
    <t>Response</t>
  </si>
  <si>
    <t>VHP</t>
  </si>
  <si>
    <t>Very High Performance</t>
  </si>
  <si>
    <t xml:space="preserve"> </t>
  </si>
  <si>
    <t>This page compares metrics against their benchmark along a scale from "Baseline" to "Very High Performance"</t>
  </si>
  <si>
    <t>Measure 2: Design For Community</t>
  </si>
  <si>
    <t>Measure 3: Design For Ecology</t>
  </si>
  <si>
    <t>Measure 4: Design For Water</t>
  </si>
  <si>
    <t>Measure 5: Design For Economy</t>
  </si>
  <si>
    <t>\</t>
  </si>
  <si>
    <t>Measure 6: Design For Energy</t>
  </si>
  <si>
    <t xml:space="preserve">Percent from renewable energy </t>
  </si>
  <si>
    <r>
      <t>CO</t>
    </r>
    <r>
      <rPr>
        <vertAlign val="subscript"/>
        <sz val="10"/>
        <color rgb="FF000000"/>
        <rFont val="Calibri"/>
        <family val="2"/>
      </rPr>
      <t>2</t>
    </r>
    <r>
      <rPr>
        <sz val="10"/>
        <color rgb="FF000000"/>
        <rFont val="Calibri"/>
        <family val="2"/>
      </rPr>
      <t xml:space="preserve"> Percent reduction from Benchmark</t>
    </r>
  </si>
  <si>
    <t>Measure 7: Design For Wellness</t>
  </si>
  <si>
    <r>
      <t>Is CO</t>
    </r>
    <r>
      <rPr>
        <vertAlign val="subscript"/>
        <sz val="10"/>
        <color rgb="FF000000"/>
        <rFont val="Calibri"/>
        <family val="2"/>
      </rPr>
      <t xml:space="preserve">2 </t>
    </r>
    <r>
      <rPr>
        <sz val="10"/>
        <color rgb="FF000000"/>
        <rFont val="Calibri"/>
        <family val="2"/>
      </rPr>
      <t>Measured?</t>
    </r>
  </si>
  <si>
    <t>Carbon Calculations</t>
  </si>
  <si>
    <t>10+</t>
  </si>
  <si>
    <t xml:space="preserve">Total Lbs. of Carbon Dioxide from: </t>
  </si>
  <si>
    <t>Measure 8: Design For Resources</t>
  </si>
  <si>
    <t>Commute/year</t>
  </si>
  <si>
    <t>Energy/year</t>
  </si>
  <si>
    <t xml:space="preserve">Building Materials </t>
  </si>
  <si>
    <t>1 Year</t>
  </si>
  <si>
    <t>20 years</t>
  </si>
  <si>
    <t>100 years</t>
  </si>
  <si>
    <t xml:space="preserve">Design </t>
  </si>
  <si>
    <t>Measure 9: Design For Change</t>
  </si>
  <si>
    <t>Measure 10: Design For Discovery</t>
  </si>
  <si>
    <t>Conversion Factor</t>
  </si>
  <si>
    <t>kWh</t>
  </si>
  <si>
    <t>Grid Electricity</t>
  </si>
  <si>
    <t>ccf</t>
  </si>
  <si>
    <t>Ton Hours</t>
  </si>
  <si>
    <t>Chilled Water</t>
  </si>
  <si>
    <t>kLbs</t>
  </si>
  <si>
    <t>District Steam</t>
  </si>
  <si>
    <t>Onsite Generation</t>
  </si>
  <si>
    <t>Cost of Energy (per selected unit)</t>
  </si>
  <si>
    <t>203 E. Jones ave.</t>
  </si>
  <si>
    <t>San Antonio</t>
  </si>
  <si>
    <t>Renovation</t>
  </si>
  <si>
    <t>Some water stress</t>
  </si>
  <si>
    <t>Native Plants</t>
  </si>
  <si>
    <t>n/a</t>
  </si>
  <si>
    <t>BOMA 2016</t>
  </si>
  <si>
    <t>Tally</t>
  </si>
  <si>
    <t>Reuse 100% of original structure: Concrete, Brick and Heavy Timber</t>
  </si>
  <si>
    <t>Partial back up energy</t>
  </si>
  <si>
    <t>Partially</t>
  </si>
  <si>
    <t>Building is already 100 years old, was retrofitted for at least another 100 years.</t>
  </si>
  <si>
    <t>Reuse of original structure</t>
  </si>
  <si>
    <t>Even passive occupants are presented with performance feedback</t>
  </si>
  <si>
    <t>Climate Zone</t>
  </si>
  <si>
    <t>2A</t>
  </si>
  <si>
    <t>Building Primary Use</t>
  </si>
  <si>
    <t>Building Primary Program</t>
  </si>
  <si>
    <t>Building Secondary</t>
  </si>
  <si>
    <t>Basic Project Information</t>
  </si>
  <si>
    <t>Building Program</t>
  </si>
  <si>
    <t>Total must equal 100%</t>
  </si>
  <si>
    <t>Primary Use</t>
  </si>
  <si>
    <t>Secondary Use</t>
  </si>
  <si>
    <t>Tertiary Use</t>
  </si>
  <si>
    <t>All Uses</t>
  </si>
  <si>
    <t>SUM</t>
  </si>
  <si>
    <t>Single Family Benchmark Cell Sorter</t>
  </si>
  <si>
    <t>Sum (kBut/yr)</t>
  </si>
  <si>
    <t>Single Family Residential Benchmarking</t>
  </si>
  <si>
    <t>AL</t>
  </si>
  <si>
    <t>AK</t>
  </si>
  <si>
    <t>AZ</t>
  </si>
  <si>
    <t>AR</t>
  </si>
  <si>
    <t>CA</t>
  </si>
  <si>
    <t>CT</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</si>
  <si>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</si>
  <si>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</si>
  <si>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</si>
  <si>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</si>
  <si>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</si>
  <si>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</si>
  <si>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</si>
  <si>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</si>
  <si>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</si>
  <si>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</si>
  <si>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</si>
  <si>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</si>
  <si>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</si>
  <si>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</si>
  <si>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</si>
  <si>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</si>
  <si>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</si>
  <si>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</si>
  <si>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</si>
  <si>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</si>
  <si>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</si>
  <si>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</si>
  <si>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</si>
  <si>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</si>
  <si>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</si>
  <si>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</si>
  <si>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</si>
  <si>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</si>
  <si>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</si>
  <si>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</si>
  <si>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</si>
  <si>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</si>
  <si>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</si>
  <si>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</si>
  <si>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</si>
  <si>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UT</t>
  </si>
  <si>
    <t>VT</t>
  </si>
  <si>
    <t>VA</t>
  </si>
  <si>
    <t>WA</t>
  </si>
  <si>
    <t>WV</t>
  </si>
  <si>
    <t>WI</t>
  </si>
  <si>
    <t>WY</t>
  </si>
  <si>
    <t>States</t>
  </si>
  <si>
    <t>West</t>
  </si>
  <si>
    <t>Northeast</t>
  </si>
  <si>
    <t>Midwest</t>
  </si>
  <si>
    <t>Cost/sf</t>
  </si>
  <si>
    <t>sf/occupant - Avg.</t>
  </si>
  <si>
    <t>sf/occupant - Peak</t>
  </si>
  <si>
    <t>Code</t>
  </si>
  <si>
    <t>Selection</t>
  </si>
  <si>
    <t>Total Building Area</t>
  </si>
  <si>
    <t>(Link)</t>
  </si>
  <si>
    <t>Project completion year</t>
  </si>
  <si>
    <t>Annual hours of operation</t>
  </si>
  <si>
    <t xml:space="preserve">This simple calculator compares your project's commuting patterns to published national averages. Use a survey (or an educated guess) to determine average commuting distance and average mpg of the building's occupants. 
If no information is available, use the baseline (US national average). Though its designed for office projects, the calculator can produce good results for all buidlings that people travel to and from.  </t>
  </si>
  <si>
    <t>Occupancy type</t>
  </si>
  <si>
    <t>FTEs</t>
  </si>
  <si>
    <t>Surface parking area</t>
  </si>
  <si>
    <t>Area of additional on site hardscapes</t>
  </si>
  <si>
    <t>Provided on-site parking spaces</t>
  </si>
  <si>
    <t>Native plantings - Percent of site</t>
  </si>
  <si>
    <t>Total Annual Water Use / sf</t>
  </si>
  <si>
    <t xml:space="preserve">Quick Irrtgation Estimator Calculator </t>
  </si>
  <si>
    <t>Garden / Agriculture</t>
  </si>
  <si>
    <t>Embodied Carbon Benchmarking</t>
  </si>
  <si>
    <t>Building Category (emboded carbon)</t>
  </si>
  <si>
    <r>
      <t>Lbs. CO</t>
    </r>
    <r>
      <rPr>
        <b/>
        <vertAlign val="subscript"/>
        <sz val="10"/>
        <color rgb="FF000000"/>
        <rFont val="Calibri"/>
        <family val="2"/>
      </rPr>
      <t>2</t>
    </r>
    <r>
      <rPr>
        <b/>
        <sz val="10"/>
        <color rgb="FF000000"/>
        <rFont val="Calibri"/>
        <family val="2"/>
      </rPr>
      <t>/sf</t>
    </r>
  </si>
  <si>
    <t>Civic Building</t>
  </si>
  <si>
    <t>Embodied carbon</t>
  </si>
  <si>
    <t>Based on building type</t>
  </si>
  <si>
    <t>Native plants include those that are indigenous to a specific geographic location and are adapted for the local climate and ecosystems. Use "turf grass" for any landscape areas with  decorative plants not adapted to the local climate.</t>
  </si>
  <si>
    <t>Step 3) Cooling tower</t>
  </si>
  <si>
    <t>Does the cooling tower use potable water?</t>
  </si>
  <si>
    <t>Cooling tower water use</t>
  </si>
  <si>
    <t>Percent of the buidling cooled by a water-cooled chiller</t>
  </si>
  <si>
    <t>Where strategies taken to conserve cooling tower water?</t>
  </si>
  <si>
    <t>Total cooling tower water use</t>
  </si>
  <si>
    <t>Assume: 0 water for non-potable use, 25% less water for conservation strategies.*</t>
  </si>
  <si>
    <t>2 - Measured Water use per occupant / Percent of rainwater used / Percent of Grey+Blackwater used</t>
  </si>
  <si>
    <t>3 - Stormwater managed on-site</t>
  </si>
  <si>
    <t>4 - Water Runoff Quality</t>
  </si>
  <si>
    <t>Chemical of concern AVOIDED</t>
  </si>
  <si>
    <t>Standard</t>
  </si>
  <si>
    <t>Number of chemicals of concern that where avoided</t>
  </si>
  <si>
    <t>Chemicals</t>
  </si>
  <si>
    <t>4 - Number of materials specified that have health certifications OR avoided chemicals of concern</t>
  </si>
  <si>
    <t xml:space="preserve">             </t>
  </si>
  <si>
    <t xml:space="preserve">Calculate or estimate the total value of materials that were recycled, local, or certified by third party programs.
Local Materials:
Don't worry too much about staying in a specific radius from the site. Use your best judgment to determine which materials were harvested or manufactured "locally"
Recycled / Reused Materials: 
Include all materials that contain some component or ingredient that is reused or recylce. </t>
  </si>
  <si>
    <t>Notable Reused or Recycled Material</t>
  </si>
  <si>
    <t>Generally, the more resused, recycled, FSC certified and/or local materials, the better.</t>
  </si>
  <si>
    <t>apt., suite, etc.</t>
  </si>
  <si>
    <r>
      <t xml:space="preserve">Potable </t>
    </r>
    <r>
      <rPr>
        <sz val="7"/>
        <color rgb="FF000000"/>
        <rFont val="Calibri"/>
        <family val="2"/>
      </rPr>
      <t>gallons/month</t>
    </r>
  </si>
  <si>
    <r>
      <t xml:space="preserve">Rainwater </t>
    </r>
    <r>
      <rPr>
        <sz val="7"/>
        <color rgb="FF000000"/>
        <rFont val="Calibri"/>
        <family val="2"/>
      </rPr>
      <t>gallons/month</t>
    </r>
  </si>
  <si>
    <t>3 - Building space efficiency</t>
  </si>
  <si>
    <t>suite 104</t>
  </si>
  <si>
    <t>Gallons/Household/year</t>
  </si>
  <si>
    <r>
      <t>Average CO</t>
    </r>
    <r>
      <rPr>
        <vertAlign val="subscript"/>
        <sz val="10"/>
        <color rgb="FF000000"/>
        <rFont val="Calibri"/>
        <family val="2"/>
      </rPr>
      <t>2</t>
    </r>
    <r>
      <rPr>
        <sz val="10"/>
        <color rgb="FF000000"/>
        <rFont val="Calibri"/>
        <family val="2"/>
      </rPr>
      <t xml:space="preserve"> emitted per gallon</t>
    </r>
  </si>
  <si>
    <r>
      <t>Average CO</t>
    </r>
    <r>
      <rPr>
        <vertAlign val="subscript"/>
        <sz val="10"/>
        <color rgb="FF000000"/>
        <rFont val="Calibri"/>
        <family val="2"/>
      </rPr>
      <t>2</t>
    </r>
    <r>
      <rPr>
        <sz val="10"/>
        <color rgb="FF000000"/>
        <rFont val="Calibri"/>
        <family val="2"/>
      </rPr>
      <t xml:space="preserve"> / Gallon of Gasoline</t>
    </r>
  </si>
  <si>
    <r>
      <t>CO</t>
    </r>
    <r>
      <rPr>
        <vertAlign val="subscript"/>
        <sz val="10"/>
        <color rgb="FF000000"/>
        <rFont val="Calibri"/>
        <family val="2"/>
      </rPr>
      <t>2</t>
    </r>
    <r>
      <rPr>
        <sz val="10"/>
        <color rgb="FF000000"/>
        <rFont val="Calibri"/>
        <family val="2"/>
      </rPr>
      <t xml:space="preserve"> lbs./occupant/yr</t>
    </r>
  </si>
  <si>
    <r>
      <t>CO</t>
    </r>
    <r>
      <rPr>
        <vertAlign val="subscript"/>
        <sz val="10"/>
        <color rgb="FF000000"/>
        <rFont val="Calibri"/>
        <family val="2"/>
      </rPr>
      <t>2</t>
    </r>
    <r>
      <rPr>
        <sz val="10"/>
        <color rgb="FF000000"/>
        <rFont val="Calibri"/>
        <family val="2"/>
      </rPr>
      <t xml:space="preserve"> lbs./yr</t>
    </r>
  </si>
  <si>
    <r>
      <t>CO</t>
    </r>
    <r>
      <rPr>
        <vertAlign val="subscript"/>
        <sz val="10"/>
        <color rgb="FF000000"/>
        <rFont val="Calibri"/>
        <family val="2"/>
      </rPr>
      <t>2</t>
    </r>
    <r>
      <rPr>
        <sz val="10"/>
        <color rgb="FF000000"/>
        <rFont val="Calibri"/>
        <family val="2"/>
      </rPr>
      <t xml:space="preserve"> lbs./sf/year</t>
    </r>
  </si>
  <si>
    <r>
      <t>Lbs. of CO</t>
    </r>
    <r>
      <rPr>
        <vertAlign val="subscript"/>
        <sz val="10"/>
        <color rgb="FF000000"/>
        <rFont val="Calibri"/>
        <family val="2"/>
      </rPr>
      <t>2</t>
    </r>
    <r>
      <rPr>
        <sz val="10"/>
        <color rgb="FF000000"/>
        <rFont val="Calibri"/>
        <family val="2"/>
      </rPr>
      <t>/Household/year</t>
    </r>
  </si>
  <si>
    <r>
      <t>Benchmark Site CO</t>
    </r>
    <r>
      <rPr>
        <b/>
        <vertAlign val="subscript"/>
        <sz val="10"/>
        <color rgb="FF000000"/>
        <rFont val="Calibri"/>
        <family val="2"/>
      </rPr>
      <t>2</t>
    </r>
    <r>
      <rPr>
        <b/>
        <sz val="10"/>
        <color rgb="FF000000"/>
        <rFont val="Calibri"/>
        <family val="2"/>
      </rPr>
      <t xml:space="preserve"> Emissions</t>
    </r>
  </si>
  <si>
    <r>
      <t>Benchmark Site annual CO</t>
    </r>
    <r>
      <rPr>
        <b/>
        <vertAlign val="subscript"/>
        <sz val="10"/>
        <color rgb="FF000000"/>
        <rFont val="Calibri"/>
        <family val="2"/>
      </rPr>
      <t>2</t>
    </r>
    <r>
      <rPr>
        <b/>
        <sz val="10"/>
        <color rgb="FF000000"/>
        <rFont val="Calibri"/>
        <family val="2"/>
      </rPr>
      <t xml:space="preserve"> Emissions</t>
    </r>
  </si>
  <si>
    <t>OPTIONAL user-defined Benchmarks</t>
  </si>
  <si>
    <t>AIA 2030</t>
  </si>
  <si>
    <t>Ligthing Power Density (LPD)</t>
  </si>
  <si>
    <t>Electric Ligthing</t>
  </si>
  <si>
    <r>
      <t>Site Area</t>
    </r>
    <r>
      <rPr>
        <vertAlign val="superscript"/>
        <sz val="10"/>
        <color rgb="FF000000"/>
        <rFont val="Calibri"/>
        <family val="2"/>
      </rPr>
      <t>(?)</t>
    </r>
  </si>
  <si>
    <r>
      <t>Regularly occupied space</t>
    </r>
    <r>
      <rPr>
        <vertAlign val="superscript"/>
        <sz val="10"/>
        <color rgb="FF000000"/>
        <rFont val="Calibri"/>
        <family val="2"/>
      </rPr>
      <t>(?)</t>
    </r>
  </si>
  <si>
    <r>
      <t>Avg. daily occupancy</t>
    </r>
    <r>
      <rPr>
        <vertAlign val="superscript"/>
        <sz val="10"/>
        <color rgb="FF000000"/>
        <rFont val="Calibri"/>
        <family val="2"/>
      </rPr>
      <t>(?)</t>
    </r>
  </si>
  <si>
    <r>
      <t>Peak occupancy</t>
    </r>
    <r>
      <rPr>
        <vertAlign val="superscript"/>
        <sz val="10"/>
        <color rgb="FF000000"/>
        <rFont val="Calibri"/>
        <family val="2"/>
      </rPr>
      <t>(?)</t>
    </r>
    <r>
      <rPr>
        <sz val="10"/>
        <color rgb="FF000000"/>
        <rFont val="Calibri"/>
        <family val="2"/>
      </rPr>
      <t xml:space="preserve"> </t>
    </r>
  </si>
  <si>
    <r>
      <t>FTEs</t>
    </r>
    <r>
      <rPr>
        <vertAlign val="superscript"/>
        <sz val="10"/>
        <color rgb="FF000000"/>
        <rFont val="Calibri"/>
        <family val="2"/>
      </rPr>
      <t>(?)</t>
    </r>
  </si>
  <si>
    <r>
      <t>Annual days of operation</t>
    </r>
    <r>
      <rPr>
        <vertAlign val="superscript"/>
        <sz val="10"/>
        <color rgb="FF000000"/>
        <rFont val="Calibri"/>
        <family val="2"/>
      </rPr>
      <t>(?)</t>
    </r>
  </si>
  <si>
    <r>
      <t>Avg. daily hours of operation</t>
    </r>
    <r>
      <rPr>
        <vertAlign val="superscript"/>
        <sz val="10"/>
        <color rgb="FF000000"/>
        <rFont val="Calibri"/>
        <family val="2"/>
      </rPr>
      <t>(?)</t>
    </r>
  </si>
  <si>
    <t>Additional Building Information</t>
  </si>
  <si>
    <t>Previously Developed Site</t>
  </si>
  <si>
    <t>Is the firm an AIA 2030 Signatory</t>
  </si>
  <si>
    <t>Reported in the AIA DDx</t>
  </si>
  <si>
    <t>BOMA maintenance costs</t>
  </si>
  <si>
    <t>GSA Workspace Utilization and Allocation</t>
  </si>
  <si>
    <r>
      <t xml:space="preserve">Corey Squire, AIA 
</t>
    </r>
    <r>
      <rPr>
        <sz val="10"/>
        <color theme="0" tint="-0.499984740745262"/>
        <rFont val="Calibri"/>
        <family val="2"/>
      </rPr>
      <t>Lake|Flato, San Antonio, TX</t>
    </r>
  </si>
  <si>
    <r>
      <t>Helena Zambrano, AIA</t>
    </r>
    <r>
      <rPr>
        <sz val="10"/>
        <color theme="0" tint="-0.499984740745262"/>
        <rFont val="Calibri"/>
        <family val="2"/>
      </rPr>
      <t xml:space="preserve"> (Project Lead)
Overland Partners, San Antonio, TX</t>
    </r>
  </si>
  <si>
    <t>Super Spreadsheet Team</t>
  </si>
  <si>
    <r>
      <t>2) Qf - Plant Quality Factor</t>
    </r>
    <r>
      <rPr>
        <b/>
        <vertAlign val="superscript"/>
        <sz val="10"/>
        <color rgb="FF000000"/>
        <rFont val="Calibri"/>
        <family val="2"/>
      </rPr>
      <t>1</t>
    </r>
  </si>
  <si>
    <r>
      <t>3) Irrigation Efficiency</t>
    </r>
    <r>
      <rPr>
        <b/>
        <vertAlign val="superscript"/>
        <sz val="10"/>
        <color rgb="FF000000"/>
        <rFont val="Calibri"/>
        <family val="2"/>
      </rPr>
      <t>2</t>
    </r>
  </si>
  <si>
    <r>
      <t>3) PF - Plant Factor</t>
    </r>
    <r>
      <rPr>
        <b/>
        <vertAlign val="superscript"/>
        <sz val="10"/>
        <color rgb="FF000000"/>
        <rFont val="Calibri"/>
        <family val="2"/>
      </rPr>
      <t>3</t>
    </r>
  </si>
  <si>
    <t>2 - The percentage of irrigated water that is used by the plant.</t>
  </si>
  <si>
    <t>1 -  The percentage of a plant's optimal irrigation quantity that it receives. 
"No water stress" - Simulates a rainy season
"Baseline" - Simulates a typical season
"Water stress" - Simulates a dry season</t>
  </si>
  <si>
    <t>3 - The relative amount of water that a plant requires compared to turf grass.</t>
  </si>
  <si>
    <t xml:space="preserve">Step 3: Chiller Use
This section is an extremely rough estimate of the water consumption of a cooling tower.                    
                                                                                                                                                                                                                                                                                </t>
  </si>
  <si>
    <t xml:space="preserve">Nation Average - Buildings with cooling towers use 7 gallons of water more (per sf annually) than those without. </t>
  </si>
  <si>
    <t>*examples of stratgies for conserving cooling tower water include: using alternative sources of water, optimizing the cycles of concentration and minimizing bleed volume, minimizing drift, and preventing overflows and leaks.</t>
  </si>
  <si>
    <r>
      <t>Reclaimed grey/black</t>
    </r>
    <r>
      <rPr>
        <b/>
        <vertAlign val="superscript"/>
        <sz val="10"/>
        <color rgb="FF000000"/>
        <rFont val="Calibri"/>
        <family val="2"/>
      </rPr>
      <t>1</t>
    </r>
    <r>
      <rPr>
        <b/>
        <sz val="10"/>
        <color rgb="FF000000"/>
        <rFont val="Calibri"/>
        <family val="2"/>
      </rPr>
      <t xml:space="preserve"> </t>
    </r>
    <r>
      <rPr>
        <sz val="7"/>
        <color rgb="FF000000"/>
        <rFont val="Calibri"/>
        <family val="2"/>
      </rPr>
      <t>gallons/month</t>
    </r>
  </si>
  <si>
    <r>
      <t>Potable</t>
    </r>
    <r>
      <rPr>
        <b/>
        <vertAlign val="superscript"/>
        <sz val="10"/>
        <color rgb="FF000000"/>
        <rFont val="Calibri"/>
        <family val="2"/>
      </rPr>
      <t>2</t>
    </r>
    <r>
      <rPr>
        <b/>
        <sz val="10"/>
        <color rgb="FF000000"/>
        <rFont val="Calibri"/>
        <family val="2"/>
      </rPr>
      <t xml:space="preserve"> </t>
    </r>
    <r>
      <rPr>
        <sz val="7"/>
        <color rgb="FF000000"/>
        <rFont val="Calibri"/>
        <family val="2"/>
      </rPr>
      <t>gallons/month</t>
    </r>
  </si>
  <si>
    <r>
      <t>Reclaimed grey/black</t>
    </r>
    <r>
      <rPr>
        <b/>
        <vertAlign val="superscript"/>
        <sz val="10"/>
        <color rgb="FF000000"/>
        <rFont val="Calibri"/>
        <family val="2"/>
      </rPr>
      <t>3</t>
    </r>
    <r>
      <rPr>
        <b/>
        <sz val="10"/>
        <color rgb="FF000000"/>
        <rFont val="Calibri"/>
        <family val="2"/>
      </rPr>
      <t xml:space="preserve"> </t>
    </r>
    <r>
      <rPr>
        <sz val="7"/>
        <color rgb="FF000000"/>
        <rFont val="Calibri"/>
        <family val="2"/>
      </rPr>
      <t>gallons/month</t>
    </r>
  </si>
  <si>
    <r>
      <t>Demand</t>
    </r>
    <r>
      <rPr>
        <b/>
        <vertAlign val="superscript"/>
        <sz val="10"/>
        <color rgb="FF000000"/>
        <rFont val="Calibri"/>
        <family val="2"/>
      </rPr>
      <t>1</t>
    </r>
    <r>
      <rPr>
        <b/>
        <sz val="10"/>
        <color rgb="FF000000"/>
        <rFont val="Calibri"/>
        <family val="2"/>
      </rPr>
      <t xml:space="preserve"> </t>
    </r>
    <r>
      <rPr>
        <sz val="7"/>
        <color rgb="FF000000"/>
        <rFont val="Calibri"/>
        <family val="2"/>
      </rPr>
      <t>gallons/month</t>
    </r>
  </si>
  <si>
    <t xml:space="preserve">Enter the monthly modeled and measured water consumption for each water source. 
1 - Modeled potable water use is pre-entered from the above calculator and only takes into account bathroom use, Irrigation, and an order of magnitude estimate for cooling tower use.  (Note: Due to complexity and variability, water used in restaurants, laboratories, or industrial processes, is not take into account.)
2 - Measured potable use can be read off utility bills.
3 - For grey/black water and rainwater, only include the purified water that is reused for another purpose and offsets a potential potable use, such as irrigation. Condensate and foundation water that offsets potential potable water use can be included here as well
</t>
  </si>
  <si>
    <t xml:space="preserve">There are many design strategies for reducing building operating costs. Include design strategies, along with their estimated numerical impact here. This should be pretty rough and is most valuable as a thought exercise. The cost savings from utilities are already populated.
</t>
  </si>
  <si>
    <t>Benchmarks are from CBECS 2003, EUI measured in kBtu/sf/yr used on site, CO2 Emissions measured in lbs. CO2/kBtu. CO2 baseline from CBECS Table 1.Total energy consumption by energy source, 2012</t>
  </si>
  <si>
    <t>Most</t>
  </si>
  <si>
    <t>How much of installed wood is FSC Certified?</t>
  </si>
  <si>
    <t>% of installed wood that is FSC Certified</t>
  </si>
  <si>
    <t>Checmicals of concern avoided</t>
  </si>
  <si>
    <r>
      <t xml:space="preserve">Tate Walker, AIA 
</t>
    </r>
    <r>
      <rPr>
        <sz val="10"/>
        <color theme="1" tint="0.499984740745262"/>
        <rFont val="Calibri"/>
        <family val="2"/>
      </rPr>
      <t>OPN, Madison, WI</t>
    </r>
  </si>
  <si>
    <r>
      <t xml:space="preserve">Z Smith, FAIA 
</t>
    </r>
    <r>
      <rPr>
        <sz val="10"/>
        <color theme="1" tint="0.499984740745262"/>
        <rFont val="Calibri"/>
        <family val="2"/>
      </rPr>
      <t>EDR, New Orleans, LA</t>
    </r>
  </si>
  <si>
    <t xml:space="preserve">
Notes on the benchmarking data set:
All benchmark values are national averages (CBECS 2003) to align with the COTE Top Ten submission instruction and to keep the values simple, accurate, and comparable across all projects. We understand the subtleties of regional benchmarks and know that they can be helpful in some circumstances, but we also realize that the disproportionally important "predicted energy use reduction" metric can easily be manipulated by overly specific benchmarks. 
In an effort to avoid the gamification of energy reduction metrics and to refocus project team efforts towards design strategies that contribute to better performance, we have concluded that benchmarking is best if its quick, simple, and broadly applicable. Using national average benchmarking accomplishes this goal.  
Notes on program types:
*Single family homes are benchmarked for annual energy and water consumption rather than per square foot. This is because all single-family homes serve the same functional purpose, regardless of size. Regional and density variations are included for single family houses since they are typically more envelope dominated that other building types. 
*Laboratories already assume to have some percentage of office space. Select 100% for all laboratory projects.
*Water benchmarks for restaurants are best based on gallon/seat or gallon/meal served, but for purposes of simplicity, an average gallon/sf is used.</t>
  </si>
  <si>
    <t>Optional user-defined benchmarks can be entered above as a way of tracking any specific benchmarking research that the team conducted. All calculations in the spreadsheet will be based on the auto generated benchmarks, which are consistent with the COTE Top Ten awards program.</t>
  </si>
  <si>
    <t>Hughes Warehouse</t>
  </si>
  <si>
    <t>Site Area</t>
  </si>
  <si>
    <t>Runoff mostly from vegetated area</t>
  </si>
  <si>
    <t>Masonry</t>
  </si>
  <si>
    <t>Yes (1)</t>
  </si>
  <si>
    <t>No (0)</t>
  </si>
  <si>
    <t>Yes (0)</t>
  </si>
  <si>
    <t>No (1)</t>
  </si>
  <si>
    <t>This first page will assign a series of benchmarks based on building specific, national data for the project to be compared against. Energy benchmarks are referenced from CBECS 2003. For more details on benchmarking and sourcing, visit the "Reference" tab.</t>
  </si>
  <si>
    <t>This tool will calculate project metrics and compare them to industry wide benchmarks. After entering information on each measure tab, the "Results" tab will graphically display the project's performance across all 10 COTE measures of sustainable design.
Whether it's used to better understand a design's performance or to streamline the process of submitting for the COTE Top Ten award, this tool will allow easy, consistent calculation and evaluation of project performance metrics.
For your reference, the Super Spreadsheet comes loaded with a COTE Top Ten award winner project, as an example on how to fill the required inputs. Make sure you have updated all the input cells with your project values before evaluating your project with the "Summary" and      "Results" tab.</t>
  </si>
  <si>
    <r>
      <t>Lbs. CO</t>
    </r>
    <r>
      <rPr>
        <vertAlign val="subscript"/>
        <sz val="10"/>
        <color rgb="FF000000"/>
        <rFont val="Calibri"/>
        <family val="2"/>
      </rPr>
      <t>2</t>
    </r>
    <r>
      <rPr>
        <sz val="10"/>
        <color rgb="FF000000"/>
        <rFont val="Calibri"/>
        <family val="2"/>
      </rPr>
      <t>/Gal</t>
    </r>
  </si>
  <si>
    <r>
      <t>Lbs. CO</t>
    </r>
    <r>
      <rPr>
        <vertAlign val="subscript"/>
        <sz val="10"/>
        <color rgb="FF000000"/>
        <rFont val="Calibri"/>
        <family val="2"/>
      </rPr>
      <t>2</t>
    </r>
    <r>
      <rPr>
        <sz val="10"/>
        <color rgb="FF000000"/>
        <rFont val="Calibri"/>
        <family val="2"/>
      </rPr>
      <t>/gallon</t>
    </r>
  </si>
  <si>
    <t>Total Materials Cost</t>
  </si>
  <si>
    <t>CBECS: Building type definitions</t>
  </si>
  <si>
    <t>Lbs</t>
  </si>
  <si>
    <t>Building footprint area</t>
  </si>
  <si>
    <t>Green roof area</t>
  </si>
  <si>
    <t>"An Environmental Product Declaration (EPD) is a document that communicates verified, transparent and comparable information about the life-cycle environmental impact of products." 
- International EPD System
List EPD's (or similar certifications) collected for materials used and tally up the total number.</t>
  </si>
  <si>
    <t>Input the total number of materials that have a third-party health certification in the yellow box. Then name each of those notable materials and their certification. Examples of certifications:
*Declare
*Health Product Declaration
*Cradle to Cradle
*Level
*Product Lens Certification
*ANSI/BIFMA e3 furniture
*Facts NSF/ANSI 336
*SDS
-OR-
Input the total number of chemicals of concern that you avoided. Then name each of those chemicals and the standard that you used as a guide. Examples of the standards include:
*Living Building Challenge Red List 
*WELL Building Standard 
*Healthier Hospitals Initiative Safer Chemicals
*Six Classes (chemicals from Green Science Policy Institute)
*Kaiser Permanente Facilities Design Program's Chemicals of Concern in Building Materials, Fabric, Furniture, and Finishes list.
*Harvard's Green Building Standards for healthier materials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</si>
</sst>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_(* #,##0_);_(* \(#,##0\);_(* &quot;-&quot;??_);_(@_)"/>
    <numFmt numFmtId="165" formatCode="&quot;$&quot;#,##0"/>
    <numFmt numFmtId="166" formatCode="0.0%"/>
    <numFmt numFmtId="167" formatCode="0.0"/>
    <numFmt numFmtId="168" formatCode="_(* #,##0.0_);_(* \(#,##0.0\);_(* &quot;-&quot;??_);_(@_)"/>
    <numFmt numFmtId="169" formatCode="0.000"/>
    <numFmt numFmtId="170" formatCode="#,##0.0"/>
    <numFmt numFmtId="171" formatCode="&quot;$&quot;#,##0.00"/>
  </numFmts>
  <fonts count="57">
    <font>
      <sz val="11"/>
      <color rgb="FF000000"/>
      <name val="Calibri"/>
    </font>
    <font>
      <sz val="11"/>
      <color theme="1"/>
      <name val="Calibri"/>
      <family val="2"/>
      <scheme val="minor"/>
    </font>
    <font>
      <b/>
      <sz val="16"/>
      <color rgb="FFFFFFFF"/>
      <name val="Calibri"/>
      <family val="2"/>
    </font>
    <font>
      <sz val="11"/>
      <name val="Calibri"/>
      <family val="2"/>
    </font>
    <font>
      <sz val="11"/>
      <name val="Calibri"/>
      <family val="2"/>
    </font>
    <font>
      <sz val="11"/>
      <color rgb="FFFFFFFF"/>
      <name val="Calibri"/>
      <family val="2"/>
    </font>
    <font>
      <b/>
      <sz val="11"/>
      <name val="Calibri"/>
      <family val="2"/>
    </font>
    <font>
      <b/>
      <sz val="11"/>
      <color rgb="FF000000"/>
      <name val="Calibri"/>
      <family val="2"/>
    </font>
    <font>
      <sz val="10"/>
      <color rgb="FF000000"/>
      <name val="Calibri"/>
      <family val="2"/>
    </font>
    <font>
      <sz val="10"/>
      <name val="Calibri"/>
      <family val="2"/>
    </font>
    <font>
      <b/>
      <sz val="9"/>
      <color rgb="FF000000"/>
      <name val="Calibri"/>
      <family val="2"/>
    </font>
    <font>
      <sz val="10"/>
      <color rgb="FFFFFFFF"/>
      <name val="Calibri"/>
      <family val="2"/>
    </font>
    <font>
      <u/>
      <sz val="10"/>
      <color rgb="FF000000"/>
      <name val="Calibri"/>
      <family val="2"/>
    </font>
    <font>
      <u/>
      <sz val="10"/>
      <color rgb="FF000000"/>
      <name val="Calibri"/>
      <family val="2"/>
    </font>
    <font>
      <b/>
      <sz val="10"/>
      <color rgb="FF000000"/>
      <name val="Calibri"/>
      <family val="2"/>
    </font>
    <font>
      <b/>
      <sz val="10"/>
      <name val="Calibri"/>
      <family val="2"/>
    </font>
    <font>
      <b/>
      <sz val="10"/>
      <color rgb="FFFFFFFF"/>
      <name val="Calibri"/>
      <family val="2"/>
    </font>
    <font>
      <sz val="11"/>
      <color rgb="FF000000"/>
      <name val="Inconsolata"/>
    </font>
    <font>
      <b/>
      <sz val="10"/>
      <color rgb="FF000000"/>
      <name val="Inconsolata"/>
    </font>
    <font>
      <u/>
      <sz val="10"/>
      <color rgb="FF000000"/>
      <name val="Calibri"/>
      <family val="2"/>
    </font>
    <font>
      <sz val="8"/>
      <color rgb="FF000000"/>
      <name val="Calibri"/>
      <family val="2"/>
    </font>
    <font>
      <sz val="9"/>
      <color rgb="FF000000"/>
      <name val="Calibri"/>
      <family val="2"/>
    </font>
    <font>
      <u/>
      <sz val="10"/>
      <color rgb="FF000000"/>
      <name val="Calibri"/>
      <family val="2"/>
    </font>
    <font>
      <sz val="10"/>
      <color rgb="FFFF0000"/>
      <name val="Calibri"/>
      <family val="2"/>
    </font>
    <font>
      <u/>
      <sz val="10"/>
      <color rgb="FF000000"/>
      <name val="Calibri"/>
      <family val="2"/>
    </font>
    <font>
      <u/>
      <sz val="10"/>
      <color rgb="FF000000"/>
      <name val="Inconsolata"/>
    </font>
    <font>
      <i/>
      <sz val="8"/>
      <color rgb="FF666666"/>
      <name val="Calibri"/>
      <family val="2"/>
    </font>
    <font>
      <u/>
      <sz val="10"/>
      <color rgb="FF000000"/>
      <name val="Calibri"/>
      <family val="2"/>
    </font>
    <font>
      <b/>
      <sz val="24"/>
      <color rgb="FFFFFFFF"/>
      <name val="Calibri"/>
      <family val="2"/>
    </font>
    <font>
      <sz val="11"/>
      <color rgb="FFFF0000"/>
      <name val="Calibri"/>
      <family val="2"/>
    </font>
    <font>
      <i/>
      <sz val="10"/>
      <color rgb="FFB7B7B7"/>
      <name val="Inconsolata"/>
    </font>
    <font>
      <sz val="10"/>
      <color rgb="FF999999"/>
      <name val="Calibri"/>
      <family val="2"/>
    </font>
    <font>
      <sz val="10"/>
      <color rgb="FFB7B7B7"/>
      <name val="Calibri"/>
      <family val="2"/>
    </font>
    <font>
      <b/>
      <sz val="11"/>
      <color rgb="FFFFFFFF"/>
      <name val="Calibri"/>
      <family val="2"/>
    </font>
    <font>
      <vertAlign val="subscript"/>
      <sz val="10"/>
      <color rgb="FF000000"/>
      <name val="Calibri"/>
      <family val="2"/>
    </font>
    <font>
      <b/>
      <vertAlign val="subscript"/>
      <sz val="10"/>
      <color rgb="FF000000"/>
      <name val="Calibri"/>
      <family val="2"/>
    </font>
    <font>
      <vertAlign val="superscript"/>
      <sz val="10"/>
      <color rgb="FF000000"/>
      <name val="Calibri"/>
      <family val="2"/>
    </font>
    <font>
      <sz val="10"/>
      <color rgb="FF000000"/>
      <name val="Inconsolata"/>
    </font>
    <font>
      <sz val="11"/>
      <color rgb="FF000000"/>
      <name val="Calibri"/>
      <family val="2"/>
    </font>
    <font>
      <sz val="10"/>
      <color theme="1" tint="0.34998626667073579"/>
      <name val="Calibri"/>
      <family val="2"/>
    </font>
    <font>
      <sz val="11"/>
      <color rgb="FF000000"/>
      <name val="Calibri"/>
      <family val="2"/>
    </font>
    <font>
      <sz val="10"/>
      <color rgb="FF333333"/>
      <name val="Calibri"/>
      <family val="2"/>
      <scheme val="minor"/>
    </font>
    <font>
      <u/>
      <sz val="11"/>
      <color theme="10"/>
      <name val="Calibri"/>
      <family val="2"/>
    </font>
    <font>
      <sz val="11"/>
      <color rgb="FF000000"/>
      <name val="Calibri"/>
      <family val="2"/>
    </font>
    <font>
      <u/>
      <sz val="9"/>
      <color theme="10"/>
      <name val="Calibri"/>
      <family val="2"/>
    </font>
    <font>
      <sz val="7"/>
      <color rgb="FF000000"/>
      <name val="Calibri"/>
      <family val="2"/>
    </font>
    <font>
      <b/>
      <sz val="10"/>
      <color theme="0"/>
      <name val="Calibri"/>
      <family val="2"/>
    </font>
    <font>
      <u/>
      <sz val="10"/>
      <name val="Calibri"/>
      <family val="2"/>
    </font>
    <font>
      <sz val="10"/>
      <color theme="0" tint="-0.499984740745262"/>
      <name val="Calibri"/>
      <family val="2"/>
    </font>
    <font>
      <sz val="11"/>
      <color rgb="FF000000"/>
      <name val="Calibri"/>
      <family val="2"/>
    </font>
    <font>
      <b/>
      <vertAlign val="superscript"/>
      <sz val="10"/>
      <color rgb="FF000000"/>
      <name val="Calibri"/>
      <family val="2"/>
    </font>
    <font>
      <sz val="10"/>
      <color theme="1" tint="0.499984740745262"/>
      <name val="Calibri"/>
      <family val="2"/>
    </font>
    <font>
      <sz val="10"/>
      <color theme="0"/>
      <name val="Calibri"/>
      <family val="2"/>
    </font>
    <font>
      <sz val="11"/>
      <color theme="0"/>
      <name val="Calibri"/>
      <family val="2"/>
    </font>
    <font>
      <sz val="11"/>
      <color rgb="FF9C5700"/>
      <name val="Calibri"/>
      <family val="2"/>
      <scheme val="minor"/>
    </font>
    <font>
      <u/>
      <sz val="11"/>
      <name val="Calibri"/>
      <family val="2"/>
    </font>
    <font>
      <sz val="11"/>
      <name val="Calibri"/>
      <family val="2"/>
      <scheme val="minor"/>
    </font>
  </fonts>
  <fills count="49">
    <fill>
      <patternFill patternType="none"/>
    </fill>
    <fill>
      <patternFill patternType="gray125"/>
    </fill>
    <fill>
      <patternFill patternType="solid">
        <fgColor rgb="FF073763"/>
        <bgColor rgb="FF073763"/>
      </patternFill>
    </fill>
    <fill>
      <patternFill patternType="solid">
        <fgColor rgb="FFFFFFFF"/>
        <bgColor rgb="FFFFFFFF"/>
      </patternFill>
    </fill>
    <fill>
      <patternFill patternType="solid">
        <fgColor rgb="FFC9DAF8"/>
        <bgColor rgb="FFC9DAF8"/>
      </patternFill>
    </fill>
    <fill>
      <patternFill patternType="solid">
        <fgColor rgb="FFD9E2F3"/>
        <bgColor rgb="FFD9E2F3"/>
      </patternFill>
    </fill>
    <fill>
      <patternFill patternType="solid">
        <fgColor rgb="FFCCCCCC"/>
        <bgColor rgb="FFCCCCCC"/>
      </patternFill>
    </fill>
    <fill>
      <patternFill patternType="solid">
        <fgColor rgb="FFB7CDD1"/>
        <bgColor rgb="FFB7CDD1"/>
      </patternFill>
    </fill>
    <fill>
      <patternFill patternType="solid">
        <fgColor rgb="FFFFE599"/>
        <bgColor rgb="FFFFE599"/>
      </patternFill>
    </fill>
    <fill>
      <patternFill patternType="solid">
        <fgColor rgb="FFCFE2F3"/>
        <bgColor rgb="FFCFE2F3"/>
      </patternFill>
    </fill>
    <fill>
      <patternFill patternType="solid">
        <fgColor rgb="FFAECAD0"/>
        <bgColor rgb="FFAECAD0"/>
      </patternFill>
    </fill>
    <fill>
      <patternFill patternType="solid">
        <fgColor rgb="FFB6D7A8"/>
        <bgColor rgb="FFB6D7A8"/>
      </patternFill>
    </fill>
    <fill>
      <patternFill patternType="solid">
        <fgColor rgb="FFD9D9D9"/>
        <bgColor rgb="FFD9D9D9"/>
      </patternFill>
    </fill>
    <fill>
      <patternFill patternType="solid">
        <fgColor rgb="FFB7B7B7"/>
        <bgColor rgb="FFB7B7B7"/>
      </patternFill>
    </fill>
    <fill>
      <patternFill patternType="solid">
        <fgColor rgb="FFC8C8C8"/>
        <bgColor rgb="FFC8C8C8"/>
      </patternFill>
    </fill>
    <fill>
      <patternFill patternType="solid">
        <fgColor rgb="FFFFE598"/>
        <bgColor rgb="FFFFE598"/>
      </patternFill>
    </fill>
    <fill>
      <patternFill patternType="solid">
        <fgColor rgb="FF4472C4"/>
        <bgColor rgb="FF4472C4"/>
      </patternFill>
    </fill>
    <fill>
      <patternFill patternType="solid">
        <fgColor rgb="FF666666"/>
        <bgColor rgb="FF666666"/>
      </patternFill>
    </fill>
    <fill>
      <patternFill patternType="solid">
        <fgColor rgb="FFD0E0E3"/>
        <bgColor rgb="FFD0E0E3"/>
      </patternFill>
    </fill>
    <fill>
      <patternFill patternType="solid">
        <fgColor rgb="FF134F5C"/>
        <bgColor rgb="FF134F5C"/>
      </patternFill>
    </fill>
    <fill>
      <patternFill patternType="solid">
        <fgColor theme="7" tint="0.59999389629810485"/>
        <bgColor indexed="65"/>
      </patternFill>
    </fill>
    <fill>
      <patternFill patternType="solid">
        <fgColor theme="0"/>
        <bgColor rgb="FFD9E2F3"/>
      </patternFill>
    </fill>
    <fill>
      <patternFill patternType="solid">
        <fgColor theme="2" tint="-0.249977111117893"/>
        <bgColor indexed="64"/>
      </patternFill>
    </fill>
    <fill>
      <patternFill patternType="solid">
        <fgColor theme="2" tint="-0.249977111117893"/>
        <bgColor rgb="FFFFFFFF"/>
      </patternFill>
    </fill>
    <fill>
      <patternFill patternType="solid">
        <fgColor theme="2" tint="-0.249977111117893"/>
        <bgColor rgb="FFCCCCCC"/>
      </patternFill>
    </fill>
    <fill>
      <patternFill patternType="solid">
        <fgColor theme="2" tint="-9.9978637043366805E-2"/>
        <bgColor indexed="64"/>
      </patternFill>
    </fill>
    <fill>
      <patternFill patternType="solid">
        <fgColor theme="2" tint="-9.9978637043366805E-2"/>
        <bgColor rgb="FFAECAD0"/>
      </patternFill>
    </fill>
    <fill>
      <patternFill patternType="solid">
        <fgColor theme="2" tint="-9.9978637043366805E-2"/>
        <bgColor rgb="FF76A5AF"/>
      </patternFill>
    </fill>
    <fill>
      <patternFill patternType="solid">
        <fgColor theme="2" tint="-9.9978637043366805E-2"/>
        <bgColor rgb="FFB7CDD1"/>
      </patternFill>
    </fill>
    <fill>
      <patternFill patternType="solid">
        <fgColor theme="2" tint="-9.9978637043366805E-2"/>
        <bgColor rgb="FFCCCCCC"/>
      </patternFill>
    </fill>
    <fill>
      <patternFill patternType="solid">
        <fgColor theme="2" tint="-9.9978637043366805E-2"/>
        <bgColor rgb="FFB7B7B7"/>
      </patternFill>
    </fill>
    <fill>
      <patternFill patternType="solid">
        <fgColor theme="2" tint="-9.9978637043366805E-2"/>
        <bgColor rgb="FFFFE599"/>
      </patternFill>
    </fill>
    <fill>
      <patternFill patternType="solid">
        <fgColor rgb="FFB7CDD1"/>
        <bgColor rgb="FFFFE599"/>
      </patternFill>
    </fill>
    <fill>
      <patternFill patternType="solid">
        <fgColor rgb="FFB7CDD1"/>
        <bgColor indexed="64"/>
      </patternFill>
    </fill>
    <fill>
      <patternFill patternType="solid">
        <fgColor rgb="FFB7CDD1"/>
        <bgColor rgb="FFB6D7A8"/>
      </patternFill>
    </fill>
    <fill>
      <patternFill patternType="solid">
        <fgColor rgb="FFB7CDD1"/>
        <bgColor rgb="FFFFFFFF"/>
      </patternFill>
    </fill>
    <fill>
      <patternFill patternType="solid">
        <fgColor theme="2" tint="-9.9978637043366805E-2"/>
        <bgColor rgb="FFFFFFFF"/>
      </patternFill>
    </fill>
    <fill>
      <patternFill patternType="solid">
        <fgColor rgb="FFC9DAF8"/>
        <bgColor rgb="FFFFFFFF"/>
      </patternFill>
    </fill>
    <fill>
      <patternFill patternType="solid">
        <fgColor theme="4" tint="-0.499984740745262"/>
        <bgColor rgb="FFFFFFFF"/>
      </patternFill>
    </fill>
    <fill>
      <patternFill patternType="solid">
        <fgColor rgb="FFB6D7A8"/>
        <bgColor rgb="FFFFFFFF"/>
      </patternFill>
    </fill>
    <fill>
      <patternFill patternType="solid">
        <fgColor theme="7" tint="0.59999389629810485"/>
        <bgColor rgb="FFFFFFFF"/>
      </patternFill>
    </fill>
    <fill>
      <patternFill patternType="solid">
        <fgColor rgb="FFB7CDD1"/>
        <bgColor rgb="FFAECAD0"/>
      </patternFill>
    </fill>
    <fill>
      <patternFill patternType="solid">
        <fgColor theme="7" tint="0.59999389629810485"/>
        <bgColor rgb="FFB7CDD1"/>
      </patternFill>
    </fill>
    <fill>
      <patternFill patternType="solid">
        <fgColor rgb="FFFFEB9C"/>
      </patternFill>
    </fill>
    <fill>
      <patternFill patternType="solid">
        <fgColor theme="0"/>
        <bgColor indexed="64"/>
      </patternFill>
    </fill>
    <fill>
      <patternFill patternType="solid">
        <fgColor theme="0"/>
        <bgColor rgb="FFFFFFFF"/>
      </patternFill>
    </fill>
    <fill>
      <patternFill patternType="solid">
        <fgColor theme="0"/>
        <bgColor rgb="FFFFE598"/>
      </patternFill>
    </fill>
    <fill>
      <patternFill patternType="solid">
        <fgColor theme="0"/>
        <bgColor rgb="FFFFE599"/>
      </patternFill>
    </fill>
    <fill>
      <patternFill patternType="solid">
        <fgColor theme="4" tint="0.79998168889431442"/>
        <bgColor rgb="FFFFFFFF"/>
      </patternFill>
    </fill>
  </fills>
  <borders count="295">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style="medium">
        <color rgb="FF000000"/>
      </bottom>
      <diagonal/>
    </border>
    <border>
      <left/>
      <right/>
      <top/>
      <bottom/>
      <diagonal/>
    </border>
    <border>
      <left/>
      <right style="thin">
        <color rgb="FFFFFFFF"/>
      </right>
      <top style="thin">
        <color rgb="FFFFFFFF"/>
      </top>
      <bottom style="thin">
        <color rgb="FFFFFFFF"/>
      </bottom>
      <diagonal/>
    </border>
    <border>
      <left/>
      <right/>
      <top/>
      <bottom/>
      <diagonal/>
    </border>
    <border>
      <left/>
      <right/>
      <top/>
      <bottom/>
      <diagonal/>
    </border>
    <border>
      <left/>
      <right/>
      <top/>
      <bottom style="medium">
        <color rgb="FF000000"/>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thin">
        <color rgb="FFFFFFFF"/>
      </left>
      <right style="thin">
        <color rgb="FFFFFFFF"/>
      </right>
      <top style="thin">
        <color rgb="FFFFFFFF"/>
      </top>
      <bottom/>
      <diagonal/>
    </border>
    <border>
      <left/>
      <right/>
      <top/>
      <bottom/>
      <diagonal/>
    </border>
    <border>
      <left/>
      <right/>
      <top/>
      <bottom/>
      <diagonal/>
    </border>
    <border>
      <left style="thin">
        <color rgb="FFFFFFFF"/>
      </left>
      <right style="thin">
        <color rgb="FFFFFFFF"/>
      </right>
      <top/>
      <bottom/>
      <diagonal/>
    </border>
    <border>
      <left style="thin">
        <color rgb="FFFFFFFF"/>
      </left>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bottom/>
      <diagonal/>
    </border>
    <border>
      <left style="thin">
        <color rgb="FF000000"/>
      </left>
      <right style="thin">
        <color rgb="FF000000"/>
      </right>
      <top/>
      <bottom style="thin">
        <color rgb="FF000000"/>
      </bottom>
      <diagonal/>
    </border>
    <border>
      <left style="medium">
        <color rgb="FF000000"/>
      </left>
      <right/>
      <top/>
      <bottom/>
      <diagonal/>
    </border>
    <border>
      <left/>
      <right style="medium">
        <color rgb="FF000000"/>
      </right>
      <top/>
      <bottom/>
      <diagonal/>
    </border>
    <border>
      <left style="thin">
        <color rgb="FF7F7F7F"/>
      </left>
      <right style="thin">
        <color rgb="FF7F7F7F"/>
      </right>
      <top style="thin">
        <color rgb="FF7F7F7F"/>
      </top>
      <bottom/>
      <diagonal/>
    </border>
    <border>
      <left style="medium">
        <color rgb="FF000000"/>
      </left>
      <right/>
      <top/>
      <bottom/>
      <diagonal/>
    </border>
    <border>
      <left/>
      <right/>
      <top/>
      <bottom/>
      <diagonal/>
    </border>
    <border>
      <left/>
      <right style="medium">
        <color rgb="FF000000"/>
      </right>
      <top/>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bottom/>
      <diagonal/>
    </border>
    <border>
      <left/>
      <right/>
      <top/>
      <bottom style="thin">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thin">
        <color rgb="FF000000"/>
      </left>
      <right style="thin">
        <color rgb="FF000000"/>
      </right>
      <top style="thin">
        <color rgb="FF000000"/>
      </top>
      <bottom/>
      <diagonal/>
    </border>
    <border>
      <left style="thin">
        <color rgb="FF7F7F7F"/>
      </left>
      <right style="thin">
        <color rgb="FF7F7F7F"/>
      </right>
      <top style="thin">
        <color rgb="FF7F7F7F"/>
      </top>
      <bottom style="thin">
        <color rgb="FF7F7F7F"/>
      </bottom>
      <diagonal/>
    </border>
    <border>
      <left style="thin">
        <color rgb="FF000000"/>
      </left>
      <right style="thin">
        <color rgb="FF000000"/>
      </right>
      <top/>
      <bottom style="thin">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bottom style="medium">
        <color rgb="FF000000"/>
      </bottom>
      <diagonal/>
    </border>
    <border>
      <left/>
      <right/>
      <top/>
      <bottom style="thin">
        <color rgb="FF000000"/>
      </bottom>
      <diagonal/>
    </border>
    <border>
      <left style="thin">
        <color rgb="FF000000"/>
      </left>
      <right style="thin">
        <color rgb="FF000000"/>
      </right>
      <top/>
      <bottom/>
      <diagonal/>
    </border>
    <border>
      <left style="medium">
        <color rgb="FF000000"/>
      </left>
      <right/>
      <top style="medium">
        <color rgb="FF000000"/>
      </top>
      <bottom/>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style="thin">
        <color rgb="FF000000"/>
      </right>
      <top/>
      <bottom/>
      <diagonal/>
    </border>
    <border>
      <left style="medium">
        <color rgb="FF000000"/>
      </left>
      <right/>
      <top/>
      <bottom/>
      <diagonal/>
    </border>
    <border>
      <left style="medium">
        <color rgb="FF000000"/>
      </left>
      <right style="medium">
        <color rgb="FF000000"/>
      </right>
      <top/>
      <bottom/>
      <diagonal/>
    </border>
    <border>
      <left style="thin">
        <color rgb="FF000000"/>
      </left>
      <right/>
      <top/>
      <bottom/>
      <diagonal/>
    </border>
    <border>
      <left style="thin">
        <color rgb="FF000000"/>
      </left>
      <right style="medium">
        <color rgb="FF000000"/>
      </right>
      <top/>
      <bottom/>
      <diagonal/>
    </border>
    <border>
      <left/>
      <right style="thin">
        <color rgb="FF000000"/>
      </right>
      <top/>
      <bottom/>
      <diagonal/>
    </border>
    <border>
      <left style="thin">
        <color rgb="FF000000"/>
      </left>
      <right style="thin">
        <color rgb="FF000000"/>
      </right>
      <top/>
      <bottom/>
      <diagonal/>
    </border>
    <border>
      <left/>
      <right style="medium">
        <color rgb="FF000000"/>
      </right>
      <top/>
      <bottom/>
      <diagonal/>
    </border>
    <border>
      <left style="medium">
        <color rgb="FF000000"/>
      </left>
      <right/>
      <top/>
      <bottom style="medium">
        <color rgb="FF000000"/>
      </bottom>
      <diagonal/>
    </border>
    <border>
      <left style="thin">
        <color rgb="FF000000"/>
      </left>
      <right/>
      <top/>
      <bottom style="medium">
        <color rgb="FF000000"/>
      </bottom>
      <diagonal/>
    </border>
    <border>
      <left style="thin">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style="medium">
        <color rgb="FF000000"/>
      </right>
      <top style="thin">
        <color rgb="FF000000"/>
      </top>
      <bottom/>
      <diagonal/>
    </border>
    <border>
      <left/>
      <right/>
      <top/>
      <bottom style="thin">
        <color rgb="FF000000"/>
      </bottom>
      <diagonal/>
    </border>
    <border>
      <left/>
      <right/>
      <top/>
      <bottom style="thin">
        <color rgb="FF000000"/>
      </bottom>
      <diagonal/>
    </border>
    <border>
      <left style="medium">
        <color rgb="FF000000"/>
      </left>
      <right/>
      <top style="thin">
        <color rgb="FF000000"/>
      </top>
      <bottom/>
      <diagonal/>
    </border>
    <border>
      <left style="medium">
        <color rgb="FF000000"/>
      </left>
      <right/>
      <top/>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B7CDD1"/>
      </left>
      <right style="medium">
        <color rgb="FFB7CDD1"/>
      </right>
      <top style="medium">
        <color rgb="FFB7CDD1"/>
      </top>
      <bottom/>
      <diagonal/>
    </border>
    <border>
      <left/>
      <right/>
      <top/>
      <bottom style="thin">
        <color rgb="FFB7CDD1"/>
      </bottom>
      <diagonal/>
    </border>
    <border>
      <left style="medium">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7F7F7F"/>
      </left>
      <right style="thin">
        <color rgb="FF7F7F7F"/>
      </right>
      <top style="thin">
        <color rgb="FF7F7F7F"/>
      </top>
      <bottom style="medium">
        <color rgb="FF000000"/>
      </bottom>
      <diagonal/>
    </border>
    <border>
      <left/>
      <right/>
      <top style="medium">
        <color rgb="FF000000"/>
      </top>
      <bottom/>
      <diagonal/>
    </border>
    <border>
      <left style="medium">
        <color rgb="FF000000"/>
      </left>
      <right/>
      <top/>
      <bottom style="medium">
        <color rgb="FF000000"/>
      </bottom>
      <diagonal/>
    </border>
    <border>
      <left/>
      <right/>
      <top style="medium">
        <color rgb="FF000000"/>
      </top>
      <bottom style="thin">
        <color rgb="FF000000"/>
      </bottom>
      <diagonal/>
    </border>
    <border>
      <left/>
      <right/>
      <top style="medium">
        <color rgb="FF000000"/>
      </top>
      <bottom style="medium">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style="medium">
        <color rgb="FF000000"/>
      </top>
      <bottom style="thin">
        <color rgb="FF000000"/>
      </bottom>
      <diagonal/>
    </border>
    <border>
      <left/>
      <right/>
      <top/>
      <bottom/>
      <diagonal/>
    </border>
    <border>
      <left/>
      <right/>
      <top/>
      <bottom style="medium">
        <color rgb="FF000000"/>
      </bottom>
      <diagonal/>
    </border>
    <border>
      <left/>
      <right/>
      <top style="thin">
        <color rgb="FFB7CDD1"/>
      </top>
      <bottom style="thin">
        <color rgb="FFB7CDD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B7CDD1"/>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style="medium">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top/>
      <bottom style="thin">
        <color rgb="FF000000"/>
      </bottom>
      <diagonal/>
    </border>
    <border>
      <left style="thin">
        <color rgb="FF93C47D"/>
      </left>
      <right/>
      <top/>
      <bottom style="thin">
        <color rgb="FF000000"/>
      </bottom>
      <diagonal/>
    </border>
    <border>
      <left/>
      <right/>
      <top/>
      <bottom style="thin">
        <color rgb="FFD9E2F3"/>
      </bottom>
      <diagonal/>
    </border>
    <border>
      <left/>
      <right/>
      <top style="thin">
        <color rgb="FFD9E2F3"/>
      </top>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style="thin">
        <color rgb="FF000000"/>
      </left>
      <right/>
      <top style="thin">
        <color rgb="FF000000"/>
      </top>
      <bottom style="thin">
        <color rgb="FFFFFFFF"/>
      </bottom>
      <diagonal/>
    </border>
    <border>
      <left/>
      <right/>
      <top style="thin">
        <color rgb="FF000000"/>
      </top>
      <bottom style="thin">
        <color rgb="FFFFFFFF"/>
      </bottom>
      <diagonal/>
    </border>
    <border>
      <left/>
      <right style="thin">
        <color rgb="FFFFFFFF"/>
      </right>
      <top style="thin">
        <color rgb="FF000000"/>
      </top>
      <bottom style="thin">
        <color rgb="FFFFFFFF"/>
      </bottom>
      <diagonal/>
    </border>
    <border>
      <left/>
      <right/>
      <top/>
      <bottom style="thin">
        <color rgb="FF4472C4"/>
      </bottom>
      <diagonal/>
    </border>
    <border>
      <left/>
      <right style="thin">
        <color rgb="FFD9E2F3"/>
      </right>
      <top/>
      <bottom/>
      <diagonal/>
    </border>
    <border>
      <left/>
      <right style="thin">
        <color rgb="FFD9E2F3"/>
      </right>
      <top/>
      <bottom/>
      <diagonal/>
    </border>
    <border>
      <left/>
      <right style="thin">
        <color rgb="FFD9E2F3"/>
      </right>
      <top/>
      <bottom/>
      <diagonal/>
    </border>
    <border>
      <left style="thin">
        <color rgb="FF000000"/>
      </left>
      <right style="thin">
        <color rgb="FF000000"/>
      </right>
      <top style="thin">
        <color rgb="FF000000"/>
      </top>
      <bottom/>
      <diagonal/>
    </border>
    <border>
      <left style="thin">
        <color rgb="FFB7CDD1"/>
      </left>
      <right style="thin">
        <color rgb="FFB7CDD1"/>
      </right>
      <top style="thin">
        <color rgb="FFB7CDD1"/>
      </top>
      <bottom/>
      <diagonal/>
    </border>
    <border>
      <left style="thin">
        <color rgb="FFB7CDD1"/>
      </left>
      <right/>
      <top style="thin">
        <color rgb="FFB7CDD1"/>
      </top>
      <bottom/>
      <diagonal/>
    </border>
    <border>
      <left/>
      <right/>
      <top/>
      <bottom style="thin">
        <color rgb="FFB7CDD1"/>
      </bottom>
      <diagonal/>
    </border>
    <border>
      <left/>
      <right style="thin">
        <color rgb="FF000000"/>
      </right>
      <top/>
      <bottom/>
      <diagonal/>
    </border>
    <border>
      <left style="thin">
        <color rgb="FFB7CDD1"/>
      </left>
      <right style="thin">
        <color rgb="FFB7CDD1"/>
      </right>
      <top style="thin">
        <color rgb="FFB7CDD1"/>
      </top>
      <bottom style="thin">
        <color rgb="FFB7CDD1"/>
      </bottom>
      <diagonal/>
    </border>
    <border>
      <left style="thin">
        <color rgb="FFB7CDD1"/>
      </left>
      <right style="thin">
        <color rgb="FF000000"/>
      </right>
      <top style="thin">
        <color rgb="FFB7CDD1"/>
      </top>
      <bottom style="thin">
        <color rgb="FFB7CDD1"/>
      </bottom>
      <diagonal/>
    </border>
    <border>
      <left style="thin">
        <color rgb="FFB7CDD1"/>
      </left>
      <right style="thin">
        <color rgb="FFB7CDD1"/>
      </right>
      <top/>
      <bottom style="thin">
        <color rgb="FFB7CDD1"/>
      </bottom>
      <diagonal/>
    </border>
    <border>
      <left style="thin">
        <color rgb="FFB7CDD1"/>
      </left>
      <right style="thin">
        <color rgb="FF000000"/>
      </right>
      <top style="thin">
        <color rgb="FFB7CDD1"/>
      </top>
      <bottom style="thin">
        <color rgb="FF000000"/>
      </bottom>
      <diagonal/>
    </border>
    <border>
      <left/>
      <right style="thin">
        <color rgb="FF000000"/>
      </right>
      <top/>
      <bottom style="thin">
        <color rgb="FFB7CDD1"/>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right style="thin">
        <color rgb="FFFFFFFF"/>
      </right>
      <top/>
      <bottom/>
      <diagonal/>
    </border>
    <border>
      <left style="thin">
        <color rgb="FFFFFFFF"/>
      </left>
      <right/>
      <top style="thin">
        <color rgb="FFFFFFFF"/>
      </top>
      <bottom/>
      <diagonal/>
    </border>
    <border>
      <left/>
      <right style="thin">
        <color rgb="FFFFFFFF"/>
      </right>
      <top style="thin">
        <color rgb="FFFFFFFF"/>
      </top>
      <bottom/>
      <diagonal/>
    </border>
    <border>
      <left style="thin">
        <color rgb="FFFFFFFF"/>
      </left>
      <right/>
      <top/>
      <bottom/>
      <diagonal/>
    </border>
    <border>
      <left style="medium">
        <color rgb="FFFFFFFF"/>
      </left>
      <right style="medium">
        <color rgb="FFFFFFFF"/>
      </right>
      <top style="medium">
        <color rgb="FFFFFFFF"/>
      </top>
      <bottom style="medium">
        <color rgb="FFFFFFFF"/>
      </bottom>
      <diagonal/>
    </border>
    <border>
      <left style="thin">
        <color rgb="FFFFFFFF"/>
      </left>
      <right style="thin">
        <color rgb="FFFFFFFF"/>
      </right>
      <top style="thin">
        <color rgb="FFFFFFFF"/>
      </top>
      <bottom/>
      <diagonal/>
    </border>
    <border>
      <left style="thin">
        <color rgb="FFB7B7B7"/>
      </left>
      <right/>
      <top style="thin">
        <color rgb="FFB7B7B7"/>
      </top>
      <bottom/>
      <diagonal/>
    </border>
    <border>
      <left/>
      <right/>
      <top style="thin">
        <color rgb="FFB7B7B7"/>
      </top>
      <bottom/>
      <diagonal/>
    </border>
    <border>
      <left/>
      <right style="thin">
        <color rgb="FFB7B7B7"/>
      </right>
      <top style="thin">
        <color rgb="FFB7B7B7"/>
      </top>
      <bottom/>
      <diagonal/>
    </border>
    <border>
      <left style="thin">
        <color rgb="FFB7B7B7"/>
      </left>
      <right/>
      <top style="thin">
        <color rgb="FF999999"/>
      </top>
      <bottom/>
      <diagonal/>
    </border>
    <border>
      <left/>
      <right/>
      <top style="thin">
        <color rgb="FF999999"/>
      </top>
      <bottom/>
      <diagonal/>
    </border>
    <border>
      <left style="thin">
        <color rgb="FFB7B7B7"/>
      </left>
      <right style="thin">
        <color rgb="FFB7B7B7"/>
      </right>
      <top style="thin">
        <color rgb="FF999999"/>
      </top>
      <bottom style="thin">
        <color rgb="FFB7B7B7"/>
      </bottom>
      <diagonal/>
    </border>
    <border>
      <left style="thin">
        <color rgb="FFB7B7B7"/>
      </left>
      <right/>
      <top/>
      <bottom/>
      <diagonal/>
    </border>
    <border>
      <left style="thin">
        <color rgb="FFB7B7B7"/>
      </left>
      <right style="thin">
        <color rgb="FFB7B7B7"/>
      </right>
      <top style="thin">
        <color rgb="FFB7B7B7"/>
      </top>
      <bottom style="thin">
        <color rgb="FFB7B7B7"/>
      </bottom>
      <diagonal/>
    </border>
    <border>
      <left style="thin">
        <color rgb="FFFFFFFF"/>
      </left>
      <right/>
      <top/>
      <bottom/>
      <diagonal/>
    </border>
    <border>
      <left style="thin">
        <color rgb="FFFFFFFF"/>
      </left>
      <right style="thin">
        <color rgb="FFFFFFFF"/>
      </right>
      <top/>
      <bottom style="thin">
        <color rgb="FFFFFFFF"/>
      </bottom>
      <diagonal/>
    </border>
    <border>
      <left/>
      <right/>
      <top style="thin">
        <color rgb="FF000000"/>
      </top>
      <bottom style="medium">
        <color indexed="64"/>
      </bottom>
      <diagonal/>
    </border>
    <border>
      <left/>
      <right/>
      <top style="medium">
        <color indexed="64"/>
      </top>
      <bottom style="medium">
        <color indexed="64"/>
      </bottom>
      <diagonal/>
    </border>
    <border>
      <left style="thin">
        <color rgb="FF000000"/>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rgb="FF000000"/>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FFFFFF"/>
      </left>
      <right/>
      <top style="medium">
        <color rgb="FF000000"/>
      </top>
      <bottom/>
      <diagonal/>
    </border>
    <border>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bottom style="medium">
        <color indexed="64"/>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FFFFFF"/>
      </left>
      <right/>
      <top style="thin">
        <color rgb="FFFFFFFF"/>
      </top>
      <bottom style="thin">
        <color indexed="64"/>
      </bottom>
      <diagonal/>
    </border>
    <border>
      <left/>
      <right style="thin">
        <color rgb="FFFFFFFF"/>
      </right>
      <top style="thin">
        <color rgb="FFFFFFFF"/>
      </top>
      <bottom style="thin">
        <color indexed="64"/>
      </bottom>
      <diagonal/>
    </border>
    <border>
      <left/>
      <right style="thin">
        <color rgb="FFFFFFFF"/>
      </right>
      <top style="medium">
        <color rgb="FF000000"/>
      </top>
      <bottom/>
      <diagonal/>
    </border>
    <border>
      <left/>
      <right style="medium">
        <color indexed="64"/>
      </right>
      <top style="medium">
        <color indexed="64"/>
      </top>
      <bottom style="medium">
        <color indexed="64"/>
      </bottom>
      <diagonal/>
    </border>
    <border>
      <left/>
      <right/>
      <top/>
      <bottom style="thin">
        <color indexed="64"/>
      </bottom>
      <diagonal/>
    </border>
    <border>
      <left style="thin">
        <color rgb="FF000000"/>
      </left>
      <right/>
      <top/>
      <bottom style="thin">
        <color indexed="64"/>
      </bottom>
      <diagonal/>
    </border>
    <border>
      <left/>
      <right style="medium">
        <color rgb="FF000000"/>
      </right>
      <top style="medium">
        <color indexed="64"/>
      </top>
      <bottom/>
      <diagonal/>
    </border>
    <border>
      <left style="medium">
        <color rgb="FF000000"/>
      </left>
      <right/>
      <top style="medium">
        <color indexed="64"/>
      </top>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rgb="FF000000"/>
      </left>
      <right/>
      <top/>
      <bottom style="medium">
        <color indexed="64"/>
      </bottom>
      <diagonal/>
    </border>
    <border>
      <left/>
      <right style="medium">
        <color rgb="FF000000"/>
      </right>
      <top/>
      <bottom style="medium">
        <color indexed="64"/>
      </bottom>
      <diagonal/>
    </border>
    <border>
      <left/>
      <right/>
      <top style="thin">
        <color rgb="FFFFFFFF"/>
      </top>
      <bottom/>
      <diagonal/>
    </border>
    <border>
      <left style="thin">
        <color rgb="FF000000"/>
      </left>
      <right style="thin">
        <color rgb="FF000000"/>
      </right>
      <top style="medium">
        <color indexed="64"/>
      </top>
      <bottom/>
      <diagonal/>
    </border>
    <border>
      <left style="thin">
        <color rgb="FF000000"/>
      </left>
      <right style="thin">
        <color rgb="FF000000"/>
      </right>
      <top/>
      <bottom style="medium">
        <color indexed="64"/>
      </bottom>
      <diagonal/>
    </border>
    <border>
      <left style="thin">
        <color rgb="FF000000"/>
      </left>
      <right style="medium">
        <color indexed="64"/>
      </right>
      <top style="medium">
        <color indexed="64"/>
      </top>
      <bottom/>
      <diagonal/>
    </border>
    <border>
      <left style="thin">
        <color rgb="FF000000"/>
      </left>
      <right style="medium">
        <color indexed="64"/>
      </right>
      <top/>
      <bottom/>
      <diagonal/>
    </border>
    <border>
      <left style="medium">
        <color rgb="FFB7CDD1"/>
      </left>
      <right style="medium">
        <color rgb="FFB7CDD1"/>
      </right>
      <top style="medium">
        <color rgb="FFB7CDD1"/>
      </top>
      <bottom style="medium">
        <color rgb="FFB7CDD1"/>
      </bottom>
      <diagonal/>
    </border>
    <border>
      <left style="medium">
        <color rgb="FFB7CDD1"/>
      </left>
      <right/>
      <top style="medium">
        <color rgb="FFB7CDD1"/>
      </top>
      <bottom style="medium">
        <color rgb="FFB7CDD1"/>
      </bottom>
      <diagonal/>
    </border>
    <border>
      <left/>
      <right style="medium">
        <color rgb="FFB7CDD1"/>
      </right>
      <top/>
      <bottom style="medium">
        <color rgb="FFB7CDD1"/>
      </bottom>
      <diagonal/>
    </border>
    <border>
      <left style="thin">
        <color rgb="FF000000"/>
      </left>
      <right style="thin">
        <color rgb="FF000000"/>
      </right>
      <top style="thin">
        <color indexed="64"/>
      </top>
      <bottom style="thin">
        <color rgb="FF000000"/>
      </bottom>
      <diagonal/>
    </border>
    <border>
      <left/>
      <right style="medium">
        <color rgb="FFB7CDD1"/>
      </right>
      <top/>
      <bottom style="thin">
        <color indexed="64"/>
      </bottom>
      <diagonal/>
    </border>
    <border>
      <left style="medium">
        <color rgb="FFB7CDD1"/>
      </left>
      <right/>
      <top style="thin">
        <color indexed="64"/>
      </top>
      <bottom/>
      <diagonal/>
    </border>
    <border>
      <left/>
      <right style="medium">
        <color rgb="FFB7CDD1"/>
      </right>
      <top style="thin">
        <color indexed="64"/>
      </top>
      <bottom/>
      <diagonal/>
    </border>
    <border>
      <left style="medium">
        <color rgb="FFB7CDD1"/>
      </left>
      <right/>
      <top/>
      <bottom/>
      <diagonal/>
    </border>
    <border>
      <left style="thin">
        <color indexed="64"/>
      </left>
      <right style="thin">
        <color rgb="FF000000"/>
      </right>
      <top/>
      <bottom/>
      <diagonal/>
    </border>
    <border>
      <left style="thin">
        <color rgb="FF000000"/>
      </left>
      <right style="medium">
        <color rgb="FFB7CDD1"/>
      </right>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style="thin">
        <color rgb="FF000000"/>
      </right>
      <top style="thin">
        <color rgb="FF000000"/>
      </top>
      <bottom style="thin">
        <color indexed="64"/>
      </bottom>
      <diagonal/>
    </border>
    <border>
      <left/>
      <right/>
      <top/>
      <bottom style="thin">
        <color rgb="FF7F7F7F"/>
      </bottom>
      <diagonal/>
    </border>
    <border>
      <left style="thin">
        <color rgb="FF7F7F7F"/>
      </left>
      <right/>
      <top style="thick">
        <color indexed="64"/>
      </top>
      <bottom style="thin">
        <color rgb="FF7F7F7F"/>
      </bottom>
      <diagonal/>
    </border>
    <border>
      <left/>
      <right/>
      <top style="thick">
        <color indexed="64"/>
      </top>
      <bottom style="thin">
        <color rgb="FF7F7F7F"/>
      </bottom>
      <diagonal/>
    </border>
    <border>
      <left/>
      <right style="thin">
        <color rgb="FF7F7F7F"/>
      </right>
      <top style="thick">
        <color indexed="64"/>
      </top>
      <bottom style="thin">
        <color rgb="FF7F7F7F"/>
      </bottom>
      <diagonal/>
    </border>
    <border>
      <left style="thin">
        <color rgb="FFFFFFFF"/>
      </left>
      <right style="thin">
        <color rgb="FFFFFFFF"/>
      </right>
      <top style="thin">
        <color indexed="64"/>
      </top>
      <bottom style="thin">
        <color rgb="FFFFFFFF"/>
      </bottom>
      <diagonal/>
    </border>
    <border>
      <left/>
      <right style="thin">
        <color rgb="FFFFFFFF"/>
      </right>
      <top/>
      <bottom style="thin">
        <color rgb="FFFFFFFF"/>
      </bottom>
      <diagonal/>
    </border>
    <border>
      <left style="thin">
        <color rgb="FFD9D9D9"/>
      </left>
      <right/>
      <top style="thin">
        <color rgb="FFFFFFFF"/>
      </top>
      <bottom style="thin">
        <color rgb="FFFFFFFF"/>
      </bottom>
      <diagonal/>
    </border>
    <border>
      <left style="thin">
        <color theme="0"/>
      </left>
      <right style="thin">
        <color rgb="FFFFFFFF"/>
      </right>
      <top style="thin">
        <color rgb="FFFFFFFF"/>
      </top>
      <bottom style="thin">
        <color rgb="FFFFFFFF"/>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medium">
        <color indexed="64"/>
      </left>
      <right style="thin">
        <color theme="4" tint="-0.499984740745262"/>
      </right>
      <top style="medium">
        <color indexed="64"/>
      </top>
      <bottom style="medium">
        <color indexed="64"/>
      </bottom>
      <diagonal/>
    </border>
    <border>
      <left style="thin">
        <color theme="4" tint="-0.499984740745262"/>
      </left>
      <right style="thin">
        <color theme="4" tint="-0.499984740745262"/>
      </right>
      <top style="medium">
        <color indexed="64"/>
      </top>
      <bottom style="medium">
        <color indexed="64"/>
      </bottom>
      <diagonal/>
    </border>
    <border>
      <left style="thin">
        <color theme="4" tint="-0.499984740745262"/>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rgb="FFB6D7A8"/>
      </right>
      <top style="medium">
        <color indexed="64"/>
      </top>
      <bottom style="medium">
        <color indexed="64"/>
      </bottom>
      <diagonal/>
    </border>
    <border>
      <left style="thin">
        <color rgb="FFB6D7A8"/>
      </left>
      <right style="medium">
        <color indexed="64"/>
      </right>
      <top style="medium">
        <color indexed="64"/>
      </top>
      <bottom style="medium">
        <color indexed="64"/>
      </bottom>
      <diagonal/>
    </border>
    <border>
      <left/>
      <right style="thin">
        <color rgb="FF000000"/>
      </right>
      <top style="thin">
        <color rgb="FF000000"/>
      </top>
      <bottom style="medium">
        <color rgb="FF000000"/>
      </bottom>
      <diagonal/>
    </border>
    <border>
      <left/>
      <right style="thin">
        <color theme="0"/>
      </right>
      <top/>
      <bottom/>
      <diagonal/>
    </border>
    <border>
      <left style="thin">
        <color theme="0"/>
      </left>
      <right/>
      <top/>
      <bottom/>
      <diagonal/>
    </border>
    <border>
      <left/>
      <right/>
      <top style="medium">
        <color rgb="FFFFFFFF"/>
      </top>
      <bottom/>
      <diagonal/>
    </border>
    <border>
      <left/>
      <right/>
      <top/>
      <bottom style="thin">
        <color rgb="FFFFFFFF"/>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rgb="FFFFFFFF"/>
      </bottom>
      <diagonal/>
    </border>
    <border>
      <left/>
      <right style="thin">
        <color indexed="64"/>
      </right>
      <top/>
      <bottom style="thin">
        <color rgb="FFFFFFFF"/>
      </bottom>
      <diagonal/>
    </border>
    <border>
      <left style="thin">
        <color indexed="64"/>
      </left>
      <right/>
      <top style="thin">
        <color rgb="FFFFFFFF"/>
      </top>
      <bottom/>
      <diagonal/>
    </border>
    <border>
      <left/>
      <right style="thin">
        <color indexed="64"/>
      </right>
      <top style="thin">
        <color rgb="FFFFFFFF"/>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top style="thin">
        <color rgb="FF7F7F7F"/>
      </top>
      <bottom style="thick">
        <color indexed="64"/>
      </bottom>
      <diagonal/>
    </border>
    <border>
      <left/>
      <right/>
      <top style="thin">
        <color rgb="FF7F7F7F"/>
      </top>
      <bottom style="thick">
        <color indexed="64"/>
      </bottom>
      <diagonal/>
    </border>
    <border>
      <left/>
      <right style="thin">
        <color rgb="FF7F7F7F"/>
      </right>
      <top style="thin">
        <color rgb="FF7F7F7F"/>
      </top>
      <bottom style="thick">
        <color indexed="64"/>
      </bottom>
      <diagonal/>
    </border>
    <border>
      <left style="thin">
        <color rgb="FFC9DAF8"/>
      </left>
      <right/>
      <top style="thin">
        <color rgb="FFC9DAF8"/>
      </top>
      <bottom/>
      <diagonal/>
    </border>
    <border>
      <left/>
      <right/>
      <top style="thin">
        <color rgb="FFC9DAF8"/>
      </top>
      <bottom/>
      <diagonal/>
    </border>
    <border>
      <left/>
      <right style="thin">
        <color rgb="FFC9DAF8"/>
      </right>
      <top style="thin">
        <color rgb="FFC9DAF8"/>
      </top>
      <bottom/>
      <diagonal/>
    </border>
    <border>
      <left style="thin">
        <color rgb="FFC9DAF8"/>
      </left>
      <right/>
      <top/>
      <bottom/>
      <diagonal/>
    </border>
    <border>
      <left/>
      <right style="thin">
        <color rgb="FFC9DAF8"/>
      </right>
      <top/>
      <bottom/>
      <diagonal/>
    </border>
    <border>
      <left/>
      <right/>
      <top style="thin">
        <color rgb="FFFFFFFF"/>
      </top>
      <bottom style="thin">
        <color rgb="FFFFFFFF"/>
      </bottom>
      <diagonal/>
    </border>
    <border>
      <left style="thin">
        <color theme="0"/>
      </left>
      <right style="thin">
        <color theme="0"/>
      </right>
      <top style="thin">
        <color theme="0"/>
      </top>
      <bottom style="thin">
        <color theme="0"/>
      </bottom>
      <diagonal/>
    </border>
    <border>
      <left style="thin">
        <color rgb="FF7F7F7F"/>
      </left>
      <right style="thin">
        <color rgb="FF7F7F7F"/>
      </right>
      <top/>
      <bottom style="thin">
        <color rgb="FF7F7F7F"/>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rgb="FF000000"/>
      </left>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0" fontId="1" fillId="20" borderId="0" applyNumberFormat="0" applyBorder="0" applyAlignment="0" applyProtection="0"/>
    <xf numFmtId="44" fontId="38" fillId="0" borderId="0" applyFont="0" applyFill="0" applyBorder="0" applyAlignment="0" applyProtection="0"/>
    <xf numFmtId="0" fontId="42" fillId="0" borderId="0" applyNumberFormat="0" applyFill="0" applyBorder="0" applyAlignment="0" applyProtection="0"/>
    <xf numFmtId="43" fontId="43" fillId="0" borderId="0" applyFont="0" applyFill="0" applyBorder="0" applyAlignment="0" applyProtection="0"/>
    <xf numFmtId="9" fontId="49" fillId="0" borderId="0" applyFont="0" applyFill="0" applyBorder="0" applyAlignment="0" applyProtection="0"/>
    <xf numFmtId="0" fontId="54" fillId="43" borderId="0" applyNumberFormat="0" applyBorder="0" applyAlignment="0" applyProtection="0"/>
  </cellStyleXfs>
  <cellXfs count="968">
    <xf numFmtId="0" fontId="0" fillId="0" borderId="0" xfId="0" applyFont="1" applyAlignment="1"/>
    <xf numFmtId="0" fontId="2" fillId="2" borderId="1" xfId="0" applyFont="1" applyFill="1" applyBorder="1" applyAlignment="1">
      <alignment horizontal="center" vertical="center"/>
    </xf>
    <xf numFmtId="0" fontId="0" fillId="0" borderId="0" xfId="0" applyFont="1"/>
    <xf numFmtId="0" fontId="0" fillId="3" borderId="5" xfId="0" applyFont="1" applyFill="1" applyBorder="1"/>
    <xf numFmtId="0" fontId="4" fillId="3" borderId="6" xfId="0" applyFont="1" applyFill="1" applyBorder="1"/>
    <xf numFmtId="0" fontId="5" fillId="2" borderId="1" xfId="0" applyFont="1" applyFill="1" applyBorder="1"/>
    <xf numFmtId="0" fontId="4" fillId="3" borderId="7" xfId="0" applyFont="1" applyFill="1" applyBorder="1"/>
    <xf numFmtId="0" fontId="6" fillId="3" borderId="7" xfId="0" applyFont="1" applyFill="1" applyBorder="1"/>
    <xf numFmtId="0" fontId="8" fillId="3" borderId="9" xfId="0" applyFont="1" applyFill="1" applyBorder="1"/>
    <xf numFmtId="0" fontId="0" fillId="3" borderId="1" xfId="0" applyFont="1" applyFill="1" applyBorder="1"/>
    <xf numFmtId="0" fontId="4" fillId="3" borderId="13" xfId="0" applyFont="1" applyFill="1" applyBorder="1"/>
    <xf numFmtId="0" fontId="7" fillId="3" borderId="1" xfId="0" applyFont="1" applyFill="1" applyBorder="1"/>
    <xf numFmtId="0" fontId="9" fillId="3" borderId="14" xfId="0" applyFont="1" applyFill="1" applyBorder="1"/>
    <xf numFmtId="0" fontId="4" fillId="0" borderId="15" xfId="0" applyFont="1" applyBorder="1"/>
    <xf numFmtId="0" fontId="0" fillId="3" borderId="16" xfId="0" applyFont="1" applyFill="1" applyBorder="1"/>
    <xf numFmtId="0" fontId="10" fillId="3" borderId="1" xfId="0" applyFont="1" applyFill="1" applyBorder="1"/>
    <xf numFmtId="0" fontId="0" fillId="3" borderId="17" xfId="0" applyFont="1" applyFill="1" applyBorder="1"/>
    <xf numFmtId="0" fontId="5" fillId="2" borderId="5" xfId="0" applyFont="1" applyFill="1" applyBorder="1"/>
    <xf numFmtId="0" fontId="8" fillId="6" borderId="5" xfId="0" applyFont="1" applyFill="1" applyBorder="1" applyAlignment="1">
      <alignment horizontal="left"/>
    </xf>
    <xf numFmtId="0" fontId="8" fillId="6" borderId="5" xfId="0" applyFont="1" applyFill="1" applyBorder="1"/>
    <xf numFmtId="0" fontId="8" fillId="3" borderId="5" xfId="0" applyFont="1" applyFill="1" applyBorder="1"/>
    <xf numFmtId="0" fontId="0" fillId="3" borderId="6" xfId="0" applyFont="1" applyFill="1" applyBorder="1"/>
    <xf numFmtId="0" fontId="12" fillId="6" borderId="5" xfId="0" applyFont="1" applyFill="1" applyBorder="1"/>
    <xf numFmtId="0" fontId="0" fillId="7" borderId="5" xfId="0" applyFont="1" applyFill="1" applyBorder="1"/>
    <xf numFmtId="0" fontId="13" fillId="7" borderId="5" xfId="0" applyFont="1" applyFill="1" applyBorder="1" applyAlignment="1">
      <alignment horizontal="right"/>
    </xf>
    <xf numFmtId="0" fontId="9" fillId="3" borderId="6" xfId="0" applyFont="1" applyFill="1" applyBorder="1"/>
    <xf numFmtId="0" fontId="11" fillId="2" borderId="5" xfId="0" applyFont="1" applyFill="1" applyBorder="1"/>
    <xf numFmtId="0" fontId="8" fillId="7" borderId="5" xfId="0" applyFont="1" applyFill="1" applyBorder="1" applyAlignment="1">
      <alignment horizontal="right"/>
    </xf>
    <xf numFmtId="0" fontId="8" fillId="7" borderId="5" xfId="0" applyFont="1" applyFill="1" applyBorder="1"/>
    <xf numFmtId="0" fontId="8" fillId="0" borderId="0" xfId="0" applyFont="1"/>
    <xf numFmtId="0" fontId="8" fillId="7" borderId="5" xfId="0" applyFont="1" applyFill="1" applyBorder="1" applyAlignment="1">
      <alignment horizontal="left"/>
    </xf>
    <xf numFmtId="4" fontId="8" fillId="7" borderId="22" xfId="0" applyNumberFormat="1" applyFont="1" applyFill="1" applyBorder="1"/>
    <xf numFmtId="9" fontId="8" fillId="7" borderId="40" xfId="0" applyNumberFormat="1" applyFont="1" applyFill="1" applyBorder="1"/>
    <xf numFmtId="9" fontId="8" fillId="6" borderId="5" xfId="0" applyNumberFormat="1" applyFont="1" applyFill="1" applyBorder="1" applyAlignment="1">
      <alignment horizontal="left"/>
    </xf>
    <xf numFmtId="3" fontId="14" fillId="7" borderId="22" xfId="0" applyNumberFormat="1" applyFont="1" applyFill="1" applyBorder="1" applyAlignment="1">
      <alignment horizontal="center"/>
    </xf>
    <xf numFmtId="0" fontId="8" fillId="7" borderId="41" xfId="0" applyFont="1" applyFill="1" applyBorder="1"/>
    <xf numFmtId="0" fontId="8" fillId="7" borderId="47" xfId="0" applyFont="1" applyFill="1" applyBorder="1" applyAlignment="1">
      <alignment horizontal="right"/>
    </xf>
    <xf numFmtId="0" fontId="14" fillId="6" borderId="47" xfId="0" applyFont="1" applyFill="1" applyBorder="1"/>
    <xf numFmtId="0" fontId="8" fillId="7" borderId="48" xfId="0" applyFont="1" applyFill="1" applyBorder="1"/>
    <xf numFmtId="0" fontId="8" fillId="7" borderId="47" xfId="0" applyFont="1" applyFill="1" applyBorder="1"/>
    <xf numFmtId="0" fontId="8" fillId="7" borderId="47" xfId="0" applyFont="1" applyFill="1" applyBorder="1" applyAlignment="1">
      <alignment horizontal="center" vertical="center"/>
    </xf>
    <xf numFmtId="9" fontId="8" fillId="7" borderId="5" xfId="0" applyNumberFormat="1" applyFont="1" applyFill="1" applyBorder="1"/>
    <xf numFmtId="0" fontId="9" fillId="6" borderId="5" xfId="0" applyFont="1" applyFill="1" applyBorder="1"/>
    <xf numFmtId="9" fontId="8" fillId="6" borderId="5" xfId="0" applyNumberFormat="1" applyFont="1" applyFill="1" applyBorder="1"/>
    <xf numFmtId="0" fontId="14" fillId="7" borderId="5" xfId="0" applyFont="1" applyFill="1" applyBorder="1" applyAlignment="1">
      <alignment horizontal="right"/>
    </xf>
    <xf numFmtId="164" fontId="8" fillId="7" borderId="40" xfId="0" applyNumberFormat="1" applyFont="1" applyFill="1" applyBorder="1"/>
    <xf numFmtId="164" fontId="8" fillId="7" borderId="5" xfId="0" applyNumberFormat="1" applyFont="1" applyFill="1" applyBorder="1"/>
    <xf numFmtId="166" fontId="8" fillId="7" borderId="52" xfId="0" applyNumberFormat="1" applyFont="1" applyFill="1" applyBorder="1"/>
    <xf numFmtId="3" fontId="18" fillId="7" borderId="22" xfId="0" applyNumberFormat="1" applyFont="1" applyFill="1" applyBorder="1" applyAlignment="1">
      <alignment horizontal="center"/>
    </xf>
    <xf numFmtId="0" fontId="8" fillId="6" borderId="47" xfId="0" applyFont="1" applyFill="1" applyBorder="1"/>
    <xf numFmtId="0" fontId="14" fillId="7" borderId="5" xfId="0" applyFont="1" applyFill="1" applyBorder="1"/>
    <xf numFmtId="1" fontId="14" fillId="7" borderId="22" xfId="0" applyNumberFormat="1" applyFont="1" applyFill="1" applyBorder="1" applyAlignment="1">
      <alignment horizontal="center"/>
    </xf>
    <xf numFmtId="0" fontId="2" fillId="2" borderId="5" xfId="0" applyFont="1" applyFill="1" applyBorder="1" applyAlignment="1">
      <alignment horizontal="left" vertical="center"/>
    </xf>
    <xf numFmtId="0" fontId="8" fillId="7" borderId="5" xfId="0" applyFont="1" applyFill="1" applyBorder="1" applyAlignment="1">
      <alignment horizontal="center"/>
    </xf>
    <xf numFmtId="166" fontId="8" fillId="7" borderId="40" xfId="0" applyNumberFormat="1" applyFont="1" applyFill="1" applyBorder="1" applyAlignment="1">
      <alignment horizontal="center"/>
    </xf>
    <xf numFmtId="9" fontId="8" fillId="7" borderId="40" xfId="0" applyNumberFormat="1" applyFont="1" applyFill="1" applyBorder="1" applyAlignment="1">
      <alignment horizontal="center"/>
    </xf>
    <xf numFmtId="0" fontId="8" fillId="7" borderId="5" xfId="0" applyFont="1" applyFill="1" applyBorder="1" applyAlignment="1">
      <alignment horizontal="right" wrapText="1"/>
    </xf>
    <xf numFmtId="0" fontId="8" fillId="10" borderId="5" xfId="0" applyFont="1" applyFill="1" applyBorder="1"/>
    <xf numFmtId="3" fontId="14" fillId="7" borderId="49" xfId="0" applyNumberFormat="1" applyFont="1" applyFill="1" applyBorder="1" applyAlignment="1">
      <alignment horizontal="center"/>
    </xf>
    <xf numFmtId="2" fontId="15" fillId="10" borderId="56" xfId="0" applyNumberFormat="1" applyFont="1" applyFill="1" applyBorder="1" applyAlignment="1">
      <alignment horizontal="center"/>
    </xf>
    <xf numFmtId="2" fontId="9" fillId="10" borderId="83" xfId="0" applyNumberFormat="1" applyFont="1" applyFill="1" applyBorder="1" applyAlignment="1">
      <alignment horizontal="left"/>
    </xf>
    <xf numFmtId="0" fontId="8" fillId="3" borderId="13" xfId="0" applyFont="1" applyFill="1" applyBorder="1"/>
    <xf numFmtId="0" fontId="14" fillId="3" borderId="5" xfId="0" applyFont="1" applyFill="1" applyBorder="1"/>
    <xf numFmtId="3" fontId="8" fillId="7" borderId="22" xfId="0" applyNumberFormat="1" applyFont="1" applyFill="1" applyBorder="1" applyAlignment="1">
      <alignment horizontal="center"/>
    </xf>
    <xf numFmtId="0" fontId="8" fillId="7" borderId="1" xfId="0" applyFont="1" applyFill="1" applyBorder="1"/>
    <xf numFmtId="0" fontId="8" fillId="7" borderId="57" xfId="0" applyFont="1" applyFill="1" applyBorder="1"/>
    <xf numFmtId="0" fontId="14" fillId="6" borderId="5" xfId="0" applyFont="1" applyFill="1" applyBorder="1"/>
    <xf numFmtId="0" fontId="8" fillId="3" borderId="6" xfId="0" applyFont="1" applyFill="1" applyBorder="1"/>
    <xf numFmtId="0" fontId="14" fillId="6" borderId="47" xfId="0" applyFont="1" applyFill="1" applyBorder="1" applyAlignment="1">
      <alignment horizontal="right"/>
    </xf>
    <xf numFmtId="0" fontId="14" fillId="6" borderId="47" xfId="0" applyFont="1" applyFill="1" applyBorder="1" applyAlignment="1">
      <alignment horizontal="center"/>
    </xf>
    <xf numFmtId="0" fontId="14" fillId="7" borderId="22" xfId="0" applyFont="1" applyFill="1" applyBorder="1"/>
    <xf numFmtId="0" fontId="8" fillId="6" borderId="5" xfId="0" applyFont="1" applyFill="1" applyBorder="1" applyAlignment="1">
      <alignment horizontal="right"/>
    </xf>
    <xf numFmtId="1" fontId="8" fillId="6" borderId="5" xfId="0" applyNumberFormat="1" applyFont="1" applyFill="1" applyBorder="1" applyAlignment="1">
      <alignment horizontal="center"/>
    </xf>
    <xf numFmtId="0" fontId="14" fillId="7" borderId="93" xfId="0" applyFont="1" applyFill="1" applyBorder="1" applyAlignment="1">
      <alignment horizontal="right"/>
    </xf>
    <xf numFmtId="0" fontId="14" fillId="7" borderId="93" xfId="0" applyFont="1" applyFill="1" applyBorder="1" applyAlignment="1">
      <alignment horizontal="center"/>
    </xf>
    <xf numFmtId="0" fontId="14" fillId="7" borderId="94" xfId="0" applyFont="1" applyFill="1" applyBorder="1" applyAlignment="1">
      <alignment horizontal="center"/>
    </xf>
    <xf numFmtId="0" fontId="8" fillId="7" borderId="98" xfId="0" applyFont="1" applyFill="1" applyBorder="1"/>
    <xf numFmtId="0" fontId="8" fillId="7" borderId="98" xfId="0" applyFont="1" applyFill="1" applyBorder="1" applyAlignment="1">
      <alignment horizontal="right"/>
    </xf>
    <xf numFmtId="0" fontId="8" fillId="7" borderId="99" xfId="0" applyFont="1" applyFill="1" applyBorder="1" applyAlignment="1">
      <alignment horizontal="right"/>
    </xf>
    <xf numFmtId="0" fontId="19" fillId="14" borderId="5" xfId="0" applyFont="1" applyFill="1" applyBorder="1"/>
    <xf numFmtId="0" fontId="8" fillId="7" borderId="48" xfId="0" applyFont="1" applyFill="1" applyBorder="1" applyAlignment="1">
      <alignment horizontal="right"/>
    </xf>
    <xf numFmtId="0" fontId="8" fillId="7" borderId="41" xfId="0" applyFont="1" applyFill="1" applyBorder="1" applyAlignment="1">
      <alignment horizontal="right"/>
    </xf>
    <xf numFmtId="0" fontId="8" fillId="6" borderId="47" xfId="0" applyFont="1" applyFill="1" applyBorder="1" applyAlignment="1">
      <alignment horizontal="center"/>
    </xf>
    <xf numFmtId="43" fontId="14" fillId="7" borderId="102" xfId="0" applyNumberFormat="1" applyFont="1" applyFill="1" applyBorder="1"/>
    <xf numFmtId="43" fontId="14" fillId="7" borderId="98" xfId="0" applyNumberFormat="1" applyFont="1" applyFill="1" applyBorder="1"/>
    <xf numFmtId="0" fontId="14" fillId="7" borderId="98" xfId="0" applyFont="1" applyFill="1" applyBorder="1" applyAlignment="1">
      <alignment horizontal="right"/>
    </xf>
    <xf numFmtId="0" fontId="14" fillId="7" borderId="99" xfId="0" applyFont="1" applyFill="1" applyBorder="1" applyAlignment="1">
      <alignment horizontal="right"/>
    </xf>
    <xf numFmtId="0" fontId="20" fillId="3" borderId="5" xfId="0" applyFont="1" applyFill="1" applyBorder="1"/>
    <xf numFmtId="0" fontId="8" fillId="6" borderId="5" xfId="0" applyFont="1" applyFill="1" applyBorder="1" applyAlignment="1">
      <alignment horizontal="center"/>
    </xf>
    <xf numFmtId="0" fontId="21" fillId="3" borderId="5" xfId="0" applyFont="1" applyFill="1" applyBorder="1"/>
    <xf numFmtId="0" fontId="8" fillId="7" borderId="78" xfId="0" applyFont="1" applyFill="1" applyBorder="1"/>
    <xf numFmtId="165" fontId="8" fillId="7" borderId="106" xfId="0" applyNumberFormat="1" applyFont="1" applyFill="1" applyBorder="1"/>
    <xf numFmtId="0" fontId="8" fillId="7" borderId="107" xfId="0" applyFont="1" applyFill="1" applyBorder="1"/>
    <xf numFmtId="9" fontId="8" fillId="7" borderId="22" xfId="0" applyNumberFormat="1" applyFont="1" applyFill="1" applyBorder="1"/>
    <xf numFmtId="164" fontId="8" fillId="7" borderId="41" xfId="0" applyNumberFormat="1" applyFont="1" applyFill="1" applyBorder="1"/>
    <xf numFmtId="164" fontId="8" fillId="7" borderId="47" xfId="0" applyNumberFormat="1" applyFont="1" applyFill="1" applyBorder="1"/>
    <xf numFmtId="164" fontId="8" fillId="7" borderId="48" xfId="0" applyNumberFormat="1" applyFont="1" applyFill="1" applyBorder="1"/>
    <xf numFmtId="164" fontId="14" fillId="7" borderId="40" xfId="0" applyNumberFormat="1" applyFont="1" applyFill="1" applyBorder="1" applyAlignment="1">
      <alignment horizontal="center" vertical="center"/>
    </xf>
    <xf numFmtId="165" fontId="8" fillId="10" borderId="50" xfId="0" applyNumberFormat="1" applyFont="1" applyFill="1" applyBorder="1"/>
    <xf numFmtId="3" fontId="14" fillId="7" borderId="40" xfId="0" applyNumberFormat="1" applyFont="1" applyFill="1" applyBorder="1" applyAlignment="1">
      <alignment horizontal="center"/>
    </xf>
    <xf numFmtId="0" fontId="8" fillId="7" borderId="55" xfId="0" applyFont="1" applyFill="1" applyBorder="1"/>
    <xf numFmtId="0" fontId="8" fillId="7" borderId="79" xfId="0" applyFont="1" applyFill="1" applyBorder="1" applyAlignment="1">
      <alignment horizontal="right"/>
    </xf>
    <xf numFmtId="165" fontId="8" fillId="7" borderId="32" xfId="0" applyNumberFormat="1" applyFont="1" applyFill="1" applyBorder="1"/>
    <xf numFmtId="0" fontId="8" fillId="7" borderId="79" xfId="0" applyFont="1" applyFill="1" applyBorder="1"/>
    <xf numFmtId="0" fontId="14" fillId="6" borderId="5" xfId="0" applyFont="1" applyFill="1" applyBorder="1" applyAlignment="1">
      <alignment horizontal="right"/>
    </xf>
    <xf numFmtId="0" fontId="14" fillId="10" borderId="79" xfId="0" applyFont="1" applyFill="1" applyBorder="1" applyAlignment="1">
      <alignment horizontal="right"/>
    </xf>
    <xf numFmtId="0" fontId="8" fillId="10" borderId="79" xfId="0" applyFont="1" applyFill="1" applyBorder="1"/>
    <xf numFmtId="0" fontId="8" fillId="10" borderId="80" xfId="0" applyFont="1" applyFill="1" applyBorder="1"/>
    <xf numFmtId="9" fontId="8" fillId="7" borderId="22" xfId="0" applyNumberFormat="1" applyFont="1" applyFill="1" applyBorder="1" applyAlignment="1">
      <alignment horizontal="right"/>
    </xf>
    <xf numFmtId="0" fontId="8" fillId="10" borderId="41" xfId="0" applyFont="1" applyFill="1" applyBorder="1"/>
    <xf numFmtId="0" fontId="14" fillId="10" borderId="1" xfId="0" applyFont="1" applyFill="1" applyBorder="1" applyAlignment="1">
      <alignment horizontal="right"/>
    </xf>
    <xf numFmtId="0" fontId="8" fillId="10" borderId="1" xfId="0" applyFont="1" applyFill="1" applyBorder="1"/>
    <xf numFmtId="0" fontId="8" fillId="10" borderId="57" xfId="0" applyFont="1" applyFill="1" applyBorder="1"/>
    <xf numFmtId="0" fontId="9" fillId="0" borderId="0" xfId="0" applyFont="1"/>
    <xf numFmtId="0" fontId="8" fillId="7" borderId="93" xfId="0" applyFont="1" applyFill="1" applyBorder="1" applyAlignment="1">
      <alignment horizontal="center" wrapText="1"/>
    </xf>
    <xf numFmtId="0" fontId="8" fillId="7" borderId="94" xfId="0" applyFont="1" applyFill="1" applyBorder="1" applyAlignment="1">
      <alignment horizontal="center" wrapText="1"/>
    </xf>
    <xf numFmtId="3" fontId="8" fillId="7" borderId="5" xfId="0" applyNumberFormat="1" applyFont="1" applyFill="1" applyBorder="1" applyAlignment="1">
      <alignment horizontal="center"/>
    </xf>
    <xf numFmtId="3" fontId="8" fillId="7" borderId="41" xfId="0" applyNumberFormat="1" applyFont="1" applyFill="1" applyBorder="1" applyAlignment="1">
      <alignment horizontal="center"/>
    </xf>
    <xf numFmtId="0" fontId="8" fillId="7" borderId="41" xfId="0" applyFont="1" applyFill="1" applyBorder="1" applyAlignment="1">
      <alignment horizontal="center"/>
    </xf>
    <xf numFmtId="0" fontId="8" fillId="7" borderId="47" xfId="0" applyFont="1" applyFill="1" applyBorder="1" applyAlignment="1">
      <alignment horizontal="center"/>
    </xf>
    <xf numFmtId="0" fontId="8" fillId="7" borderId="48" xfId="0" applyFont="1" applyFill="1" applyBorder="1" applyAlignment="1">
      <alignment horizontal="center"/>
    </xf>
    <xf numFmtId="1" fontId="8" fillId="7" borderId="41" xfId="0" applyNumberFormat="1" applyFont="1" applyFill="1" applyBorder="1" applyAlignment="1">
      <alignment horizontal="center"/>
    </xf>
    <xf numFmtId="0" fontId="14" fillId="7" borderId="47" xfId="0" applyFont="1" applyFill="1" applyBorder="1" applyAlignment="1">
      <alignment horizontal="center"/>
    </xf>
    <xf numFmtId="9" fontId="8" fillId="7" borderId="118" xfId="0" applyNumberFormat="1" applyFont="1" applyFill="1" applyBorder="1" applyAlignment="1">
      <alignment horizontal="center"/>
    </xf>
    <xf numFmtId="9" fontId="8" fillId="7" borderId="48" xfId="0" applyNumberFormat="1" applyFont="1" applyFill="1" applyBorder="1" applyAlignment="1">
      <alignment horizontal="center"/>
    </xf>
    <xf numFmtId="9" fontId="8" fillId="7" borderId="5" xfId="0" applyNumberFormat="1" applyFont="1" applyFill="1" applyBorder="1" applyAlignment="1">
      <alignment horizontal="center"/>
    </xf>
    <xf numFmtId="9" fontId="8" fillId="7" borderId="47" xfId="0" applyNumberFormat="1" applyFont="1" applyFill="1" applyBorder="1" applyAlignment="1">
      <alignment horizontal="center"/>
    </xf>
    <xf numFmtId="3" fontId="14" fillId="7" borderId="40" xfId="0" applyNumberFormat="1" applyFont="1" applyFill="1" applyBorder="1" applyAlignment="1">
      <alignment horizontal="center" vertical="center"/>
    </xf>
    <xf numFmtId="0" fontId="14" fillId="3" borderId="5" xfId="0" applyFont="1" applyFill="1" applyBorder="1" applyAlignment="1">
      <alignment horizontal="right"/>
    </xf>
    <xf numFmtId="0" fontId="4" fillId="2" borderId="5" xfId="0" applyFont="1" applyFill="1" applyBorder="1"/>
    <xf numFmtId="0" fontId="14" fillId="3" borderId="1" xfId="0" applyFont="1" applyFill="1" applyBorder="1"/>
    <xf numFmtId="0" fontId="4" fillId="3" borderId="5" xfId="0" applyFont="1" applyFill="1" applyBorder="1"/>
    <xf numFmtId="0" fontId="11" fillId="6" borderId="5" xfId="0" applyFont="1" applyFill="1" applyBorder="1"/>
    <xf numFmtId="0" fontId="23" fillId="7" borderId="5" xfId="0" applyFont="1" applyFill="1" applyBorder="1"/>
    <xf numFmtId="3" fontId="8" fillId="7" borderId="22" xfId="0" applyNumberFormat="1" applyFont="1" applyFill="1" applyBorder="1"/>
    <xf numFmtId="0" fontId="8" fillId="10" borderId="5" xfId="0" applyFont="1" applyFill="1" applyBorder="1" applyAlignment="1">
      <alignment horizontal="center"/>
    </xf>
    <xf numFmtId="3" fontId="8" fillId="10" borderId="5" xfId="0" applyNumberFormat="1" applyFont="1" applyFill="1" applyBorder="1" applyAlignment="1">
      <alignment horizontal="center"/>
    </xf>
    <xf numFmtId="3" fontId="8" fillId="10" borderId="5" xfId="0" applyNumberFormat="1" applyFont="1" applyFill="1" applyBorder="1"/>
    <xf numFmtId="0" fontId="14" fillId="10" borderId="5" xfId="0" applyFont="1" applyFill="1" applyBorder="1" applyAlignment="1">
      <alignment horizontal="right"/>
    </xf>
    <xf numFmtId="0" fontId="8" fillId="7" borderId="122" xfId="0" applyFont="1" applyFill="1" applyBorder="1"/>
    <xf numFmtId="0" fontId="8" fillId="6" borderId="5" xfId="0" applyFont="1" applyFill="1" applyBorder="1" applyAlignment="1">
      <alignment vertical="top"/>
    </xf>
    <xf numFmtId="0" fontId="8" fillId="7" borderId="126" xfId="0" applyFont="1" applyFill="1" applyBorder="1"/>
    <xf numFmtId="0" fontId="14" fillId="7" borderId="47" xfId="0" applyFont="1" applyFill="1" applyBorder="1" applyAlignment="1">
      <alignment horizontal="right"/>
    </xf>
    <xf numFmtId="0" fontId="14" fillId="7" borderId="104" xfId="0" applyFont="1" applyFill="1" applyBorder="1" applyAlignment="1">
      <alignment horizontal="center" wrapText="1"/>
    </xf>
    <xf numFmtId="0" fontId="14" fillId="7" borderId="128" xfId="0" applyFont="1" applyFill="1" applyBorder="1" applyAlignment="1">
      <alignment horizontal="center" wrapText="1"/>
    </xf>
    <xf numFmtId="0" fontId="14" fillId="7" borderId="129" xfId="0" applyFont="1" applyFill="1" applyBorder="1" applyAlignment="1">
      <alignment horizontal="center" wrapText="1"/>
    </xf>
    <xf numFmtId="0" fontId="14" fillId="7" borderId="47" xfId="0" applyFont="1" applyFill="1" applyBorder="1"/>
    <xf numFmtId="0" fontId="14" fillId="7" borderId="118" xfId="0" applyFont="1" applyFill="1" applyBorder="1" applyAlignment="1">
      <alignment horizontal="center" wrapText="1"/>
    </xf>
    <xf numFmtId="0" fontId="14" fillId="7" borderId="47" xfId="0" applyFont="1" applyFill="1" applyBorder="1" applyAlignment="1">
      <alignment horizontal="center" wrapText="1"/>
    </xf>
    <xf numFmtId="0" fontId="14" fillId="7" borderId="130" xfId="0" applyFont="1" applyFill="1" applyBorder="1" applyAlignment="1">
      <alignment horizontal="center" wrapText="1"/>
    </xf>
    <xf numFmtId="0" fontId="24" fillId="6" borderId="5" xfId="0" applyFont="1" applyFill="1" applyBorder="1" applyAlignment="1">
      <alignment vertical="top"/>
    </xf>
    <xf numFmtId="0" fontId="14" fillId="7" borderId="5" xfId="0" applyFont="1" applyFill="1" applyBorder="1" applyAlignment="1">
      <alignment horizontal="right" vertical="center"/>
    </xf>
    <xf numFmtId="0" fontId="14" fillId="7" borderId="5" xfId="0" applyFont="1" applyFill="1" applyBorder="1" applyAlignment="1">
      <alignment horizontal="center"/>
    </xf>
    <xf numFmtId="3" fontId="8" fillId="7" borderId="5" xfId="0" applyNumberFormat="1" applyFont="1" applyFill="1" applyBorder="1"/>
    <xf numFmtId="9" fontId="8" fillId="7" borderId="84" xfId="0" applyNumberFormat="1" applyFont="1" applyFill="1" applyBorder="1"/>
    <xf numFmtId="9" fontId="8" fillId="7" borderId="79" xfId="0" applyNumberFormat="1" applyFont="1" applyFill="1" applyBorder="1"/>
    <xf numFmtId="9" fontId="8" fillId="7" borderId="80" xfId="0" applyNumberFormat="1" applyFont="1" applyFill="1" applyBorder="1"/>
    <xf numFmtId="3" fontId="8" fillId="7" borderId="79" xfId="0" applyNumberFormat="1" applyFont="1" applyFill="1" applyBorder="1"/>
    <xf numFmtId="9" fontId="8" fillId="7" borderId="55" xfId="0" applyNumberFormat="1" applyFont="1" applyFill="1" applyBorder="1"/>
    <xf numFmtId="9" fontId="8" fillId="7" borderId="1" xfId="0" applyNumberFormat="1" applyFont="1" applyFill="1" applyBorder="1"/>
    <xf numFmtId="9" fontId="8" fillId="7" borderId="57" xfId="0" applyNumberFormat="1" applyFont="1" applyFill="1" applyBorder="1"/>
    <xf numFmtId="0" fontId="8" fillId="7" borderId="84" xfId="0" applyFont="1" applyFill="1" applyBorder="1"/>
    <xf numFmtId="0" fontId="8" fillId="7" borderId="80" xfId="0" applyFont="1" applyFill="1" applyBorder="1"/>
    <xf numFmtId="3" fontId="8" fillId="7" borderId="132" xfId="0" applyNumberFormat="1" applyFont="1" applyFill="1" applyBorder="1" applyAlignment="1">
      <alignment horizontal="center"/>
    </xf>
    <xf numFmtId="2" fontId="8" fillId="7" borderId="5" xfId="0" applyNumberFormat="1" applyFont="1" applyFill="1" applyBorder="1"/>
    <xf numFmtId="0" fontId="14" fillId="7" borderId="79" xfId="0" applyFont="1" applyFill="1" applyBorder="1" applyAlignment="1">
      <alignment horizontal="right"/>
    </xf>
    <xf numFmtId="0" fontId="14" fillId="7" borderId="78" xfId="0" applyFont="1" applyFill="1" applyBorder="1" applyAlignment="1">
      <alignment horizontal="right"/>
    </xf>
    <xf numFmtId="0" fontId="8" fillId="5" borderId="5" xfId="0" applyFont="1" applyFill="1" applyBorder="1"/>
    <xf numFmtId="0" fontId="14" fillId="7" borderId="1" xfId="0" applyFont="1" applyFill="1" applyBorder="1" applyAlignment="1">
      <alignment horizontal="center"/>
    </xf>
    <xf numFmtId="0" fontId="14" fillId="6" borderId="47" xfId="0" applyFont="1" applyFill="1" applyBorder="1" applyAlignment="1">
      <alignment horizontal="left"/>
    </xf>
    <xf numFmtId="0" fontId="8" fillId="10" borderId="5" xfId="0" applyFont="1" applyFill="1" applyBorder="1" applyAlignment="1">
      <alignment horizontal="right"/>
    </xf>
    <xf numFmtId="9" fontId="8" fillId="7" borderId="5" xfId="0" applyNumberFormat="1" applyFont="1" applyFill="1" applyBorder="1" applyAlignment="1">
      <alignment horizontal="left"/>
    </xf>
    <xf numFmtId="9" fontId="8" fillId="6" borderId="5" xfId="0" applyNumberFormat="1" applyFont="1" applyFill="1" applyBorder="1" applyAlignment="1">
      <alignment horizontal="center"/>
    </xf>
    <xf numFmtId="1" fontId="8" fillId="7" borderId="5" xfId="0" applyNumberFormat="1" applyFont="1" applyFill="1" applyBorder="1"/>
    <xf numFmtId="0" fontId="14" fillId="10" borderId="47" xfId="0" applyFont="1" applyFill="1" applyBorder="1" applyAlignment="1">
      <alignment horizontal="right" wrapText="1"/>
    </xf>
    <xf numFmtId="0" fontId="8" fillId="6" borderId="47" xfId="0" applyFont="1" applyFill="1" applyBorder="1" applyAlignment="1">
      <alignment horizontal="right"/>
    </xf>
    <xf numFmtId="0" fontId="14" fillId="10" borderId="47" xfId="0" applyFont="1" applyFill="1" applyBorder="1" applyAlignment="1">
      <alignment horizontal="center" wrapText="1"/>
    </xf>
    <xf numFmtId="0" fontId="14" fillId="10" borderId="118" xfId="0" applyFont="1" applyFill="1" applyBorder="1" applyAlignment="1">
      <alignment horizontal="center" wrapText="1"/>
    </xf>
    <xf numFmtId="164" fontId="8" fillId="10" borderId="5" xfId="0" applyNumberFormat="1" applyFont="1" applyFill="1" applyBorder="1"/>
    <xf numFmtId="167" fontId="8" fillId="7" borderId="5" xfId="0" applyNumberFormat="1" applyFont="1" applyFill="1" applyBorder="1"/>
    <xf numFmtId="0" fontId="14" fillId="7" borderId="107" xfId="0" applyFont="1" applyFill="1" applyBorder="1" applyAlignment="1">
      <alignment horizontal="right"/>
    </xf>
    <xf numFmtId="0" fontId="14" fillId="10" borderId="98" xfId="0" applyFont="1" applyFill="1" applyBorder="1" applyAlignment="1">
      <alignment horizontal="right"/>
    </xf>
    <xf numFmtId="165" fontId="8" fillId="7" borderId="5" xfId="0" applyNumberFormat="1" applyFont="1" applyFill="1" applyBorder="1"/>
    <xf numFmtId="0" fontId="8" fillId="10" borderId="98" xfId="0" applyFont="1" applyFill="1" applyBorder="1"/>
    <xf numFmtId="3" fontId="8" fillId="10" borderId="98" xfId="0" applyNumberFormat="1" applyFont="1" applyFill="1" applyBorder="1"/>
    <xf numFmtId="0" fontId="8" fillId="10" borderId="98" xfId="0" applyFont="1" applyFill="1" applyBorder="1" applyAlignment="1">
      <alignment horizontal="right"/>
    </xf>
    <xf numFmtId="166" fontId="8" fillId="10" borderId="40" xfId="0" applyNumberFormat="1" applyFont="1" applyFill="1" applyBorder="1"/>
    <xf numFmtId="170" fontId="8" fillId="7" borderId="22" xfId="0" applyNumberFormat="1" applyFont="1" applyFill="1" applyBorder="1"/>
    <xf numFmtId="0" fontId="8" fillId="10" borderId="52" xfId="0" applyFont="1" applyFill="1" applyBorder="1" applyAlignment="1">
      <alignment horizontal="center"/>
    </xf>
    <xf numFmtId="0" fontId="26" fillId="3" borderId="5" xfId="0" applyFont="1" applyFill="1" applyBorder="1"/>
    <xf numFmtId="0" fontId="14" fillId="6" borderId="118" xfId="0" applyFont="1" applyFill="1" applyBorder="1" applyAlignment="1">
      <alignment horizontal="center"/>
    </xf>
    <xf numFmtId="0" fontId="14" fillId="6" borderId="136" xfId="0" applyFont="1" applyFill="1" applyBorder="1" applyAlignment="1">
      <alignment horizontal="center"/>
    </xf>
    <xf numFmtId="0" fontId="14" fillId="6" borderId="130" xfId="0" applyFont="1" applyFill="1" applyBorder="1" applyAlignment="1">
      <alignment horizontal="center"/>
    </xf>
    <xf numFmtId="169" fontId="8" fillId="6" borderId="5" xfId="0" applyNumberFormat="1" applyFont="1" applyFill="1" applyBorder="1" applyAlignment="1">
      <alignment horizontal="center"/>
    </xf>
    <xf numFmtId="0" fontId="8" fillId="5" borderId="137" xfId="0" applyFont="1" applyFill="1" applyBorder="1" applyAlignment="1">
      <alignment vertical="top" wrapText="1"/>
    </xf>
    <xf numFmtId="0" fontId="8" fillId="5" borderId="138" xfId="0" applyFont="1" applyFill="1" applyBorder="1" applyAlignment="1">
      <alignment vertical="top" wrapText="1"/>
    </xf>
    <xf numFmtId="0" fontId="0" fillId="6" borderId="5" xfId="0" applyFont="1" applyFill="1" applyBorder="1"/>
    <xf numFmtId="0" fontId="0" fillId="6" borderId="47" xfId="0" applyFont="1" applyFill="1" applyBorder="1"/>
    <xf numFmtId="0" fontId="0" fillId="6" borderId="5" xfId="0" applyFont="1" applyFill="1" applyBorder="1" applyAlignment="1">
      <alignment horizontal="right"/>
    </xf>
    <xf numFmtId="165" fontId="14" fillId="7" borderId="5" xfId="0" applyNumberFormat="1" applyFont="1" applyFill="1" applyBorder="1"/>
    <xf numFmtId="9" fontId="8" fillId="7" borderId="49" xfId="0" applyNumberFormat="1" applyFont="1" applyFill="1" applyBorder="1" applyAlignment="1">
      <alignment horizontal="center"/>
    </xf>
    <xf numFmtId="9" fontId="8" fillId="7" borderId="59" xfId="0" applyNumberFormat="1" applyFont="1" applyFill="1" applyBorder="1" applyAlignment="1">
      <alignment horizontal="center"/>
    </xf>
    <xf numFmtId="0" fontId="8" fillId="7" borderId="22" xfId="0" applyFont="1" applyFill="1" applyBorder="1" applyAlignment="1">
      <alignment horizontal="center"/>
    </xf>
    <xf numFmtId="0" fontId="28" fillId="2" borderId="5" xfId="0" applyFont="1" applyFill="1" applyBorder="1" applyAlignment="1">
      <alignment vertical="center"/>
    </xf>
    <xf numFmtId="166" fontId="8" fillId="7" borderId="5" xfId="0" applyNumberFormat="1" applyFont="1" applyFill="1" applyBorder="1"/>
    <xf numFmtId="168" fontId="8" fillId="7" borderId="5" xfId="0" applyNumberFormat="1" applyFont="1" applyFill="1" applyBorder="1"/>
    <xf numFmtId="9" fontId="8" fillId="7" borderId="107" xfId="0" applyNumberFormat="1" applyFont="1" applyFill="1" applyBorder="1"/>
    <xf numFmtId="0" fontId="8" fillId="7" borderId="151" xfId="0" applyFont="1" applyFill="1" applyBorder="1"/>
    <xf numFmtId="9" fontId="8" fillId="7" borderId="151" xfId="0" applyNumberFormat="1" applyFont="1" applyFill="1" applyBorder="1"/>
    <xf numFmtId="0" fontId="8" fillId="7" borderId="152" xfId="0" applyFont="1" applyFill="1" applyBorder="1"/>
    <xf numFmtId="3" fontId="8" fillId="7" borderId="98" xfId="0" applyNumberFormat="1" applyFont="1" applyFill="1" applyBorder="1"/>
    <xf numFmtId="170" fontId="8" fillId="7" borderId="5" xfId="0" applyNumberFormat="1" applyFont="1" applyFill="1" applyBorder="1"/>
    <xf numFmtId="9" fontId="8" fillId="7" borderId="47" xfId="0" applyNumberFormat="1" applyFont="1" applyFill="1" applyBorder="1"/>
    <xf numFmtId="0" fontId="8" fillId="7" borderId="154" xfId="0" applyFont="1" applyFill="1" applyBorder="1"/>
    <xf numFmtId="0" fontId="8" fillId="7" borderId="155" xfId="0" applyFont="1" applyFill="1" applyBorder="1"/>
    <xf numFmtId="167" fontId="8" fillId="7" borderId="155" xfId="0" applyNumberFormat="1" applyFont="1" applyFill="1" applyBorder="1"/>
    <xf numFmtId="0" fontId="8" fillId="7" borderId="156" xfId="0" applyFont="1" applyFill="1" applyBorder="1"/>
    <xf numFmtId="0" fontId="8" fillId="7" borderId="157" xfId="0" applyFont="1" applyFill="1" applyBorder="1"/>
    <xf numFmtId="9" fontId="8" fillId="7" borderId="157" xfId="0" applyNumberFormat="1" applyFont="1" applyFill="1" applyBorder="1"/>
    <xf numFmtId="0" fontId="8" fillId="7" borderId="158" xfId="0" applyFont="1" applyFill="1" applyBorder="1"/>
    <xf numFmtId="167" fontId="8" fillId="7" borderId="107" xfId="0" applyNumberFormat="1" applyFont="1" applyFill="1" applyBorder="1"/>
    <xf numFmtId="0" fontId="8" fillId="7" borderId="159" xfId="0" applyFont="1" applyFill="1" applyBorder="1"/>
    <xf numFmtId="0" fontId="8" fillId="7" borderId="130" xfId="0" applyFont="1" applyFill="1" applyBorder="1"/>
    <xf numFmtId="4" fontId="8" fillId="7" borderId="5" xfId="0" applyNumberFormat="1" applyFont="1" applyFill="1" applyBorder="1"/>
    <xf numFmtId="0" fontId="16" fillId="2" borderId="5" xfId="0" applyFont="1" applyFill="1" applyBorder="1" applyAlignment="1">
      <alignment vertical="center"/>
    </xf>
    <xf numFmtId="0" fontId="11" fillId="16" borderId="5" xfId="0" applyFont="1" applyFill="1" applyBorder="1"/>
    <xf numFmtId="0" fontId="16" fillId="17" borderId="5" xfId="0" applyFont="1" applyFill="1" applyBorder="1" applyAlignment="1">
      <alignment horizontal="center"/>
    </xf>
    <xf numFmtId="0" fontId="16" fillId="17" borderId="17" xfId="0" applyFont="1" applyFill="1" applyBorder="1" applyAlignment="1">
      <alignment horizontal="center" vertical="center"/>
    </xf>
    <xf numFmtId="0" fontId="16" fillId="17" borderId="5" xfId="0" applyFont="1" applyFill="1" applyBorder="1" applyAlignment="1">
      <alignment horizontal="center" vertical="center"/>
    </xf>
    <xf numFmtId="0" fontId="16" fillId="17" borderId="17" xfId="0" applyFont="1" applyFill="1" applyBorder="1" applyAlignment="1">
      <alignment horizontal="center" vertical="center" wrapText="1"/>
    </xf>
    <xf numFmtId="0" fontId="11" fillId="17" borderId="5" xfId="0" applyFont="1" applyFill="1" applyBorder="1"/>
    <xf numFmtId="0" fontId="4" fillId="17" borderId="5" xfId="0" applyFont="1" applyFill="1" applyBorder="1"/>
    <xf numFmtId="0" fontId="29" fillId="17" borderId="5" xfId="0" applyFont="1" applyFill="1" applyBorder="1" applyAlignment="1">
      <alignment horizontal="left"/>
    </xf>
    <xf numFmtId="0" fontId="4" fillId="17" borderId="5" xfId="0" applyFont="1" applyFill="1" applyBorder="1" applyAlignment="1">
      <alignment horizontal="center"/>
    </xf>
    <xf numFmtId="0" fontId="14" fillId="3" borderId="6" xfId="0" applyFont="1" applyFill="1" applyBorder="1"/>
    <xf numFmtId="0" fontId="14" fillId="3" borderId="6" xfId="0" applyFont="1" applyFill="1" applyBorder="1" applyAlignment="1">
      <alignment horizontal="center"/>
    </xf>
    <xf numFmtId="0" fontId="8" fillId="3" borderId="6" xfId="0" applyFont="1" applyFill="1" applyBorder="1" applyAlignment="1">
      <alignment horizontal="center"/>
    </xf>
    <xf numFmtId="0" fontId="30" fillId="3" borderId="5" xfId="0" applyFont="1" applyFill="1" applyBorder="1"/>
    <xf numFmtId="0" fontId="23" fillId="3" borderId="6" xfId="0" applyFont="1" applyFill="1" applyBorder="1"/>
    <xf numFmtId="0" fontId="4" fillId="0" borderId="6" xfId="0" applyFont="1" applyBorder="1"/>
    <xf numFmtId="0" fontId="4" fillId="0" borderId="6" xfId="0" applyFont="1" applyBorder="1" applyAlignment="1">
      <alignment horizontal="center"/>
    </xf>
    <xf numFmtId="0" fontId="31" fillId="3" borderId="6" xfId="0" applyFont="1" applyFill="1" applyBorder="1" applyAlignment="1">
      <alignment vertical="top" wrapText="1"/>
    </xf>
    <xf numFmtId="0" fontId="32" fillId="3" borderId="6" xfId="0" applyFont="1" applyFill="1" applyBorder="1" applyAlignment="1">
      <alignment horizontal="right"/>
    </xf>
    <xf numFmtId="0" fontId="9" fillId="0" borderId="6" xfId="0" applyFont="1" applyBorder="1" applyAlignment="1">
      <alignment horizontal="center"/>
    </xf>
    <xf numFmtId="0" fontId="9" fillId="0" borderId="6" xfId="0" applyFont="1" applyBorder="1"/>
    <xf numFmtId="0" fontId="8" fillId="3" borderId="17" xfId="0" applyFont="1" applyFill="1" applyBorder="1" applyAlignment="1">
      <alignment horizontal="center"/>
    </xf>
    <xf numFmtId="0" fontId="8" fillId="3" borderId="21" xfId="0" applyFont="1" applyFill="1" applyBorder="1" applyAlignment="1">
      <alignment horizontal="center"/>
    </xf>
    <xf numFmtId="0" fontId="11" fillId="3" borderId="6" xfId="0" applyFont="1" applyFill="1" applyBorder="1" applyAlignment="1">
      <alignment horizontal="center"/>
    </xf>
    <xf numFmtId="0" fontId="9" fillId="0" borderId="161" xfId="0" applyFont="1" applyBorder="1" applyAlignment="1">
      <alignment horizontal="center"/>
    </xf>
    <xf numFmtId="0" fontId="23" fillId="3" borderId="5" xfId="0" applyFont="1" applyFill="1" applyBorder="1"/>
    <xf numFmtId="0" fontId="8" fillId="3" borderId="9" xfId="0" applyFont="1" applyFill="1" applyBorder="1" applyAlignment="1">
      <alignment horizontal="center"/>
    </xf>
    <xf numFmtId="9" fontId="8" fillId="3" borderId="21" xfId="0" applyNumberFormat="1" applyFont="1" applyFill="1" applyBorder="1" applyAlignment="1">
      <alignment horizontal="center"/>
    </xf>
    <xf numFmtId="9" fontId="11" fillId="3" borderId="6" xfId="0" applyNumberFormat="1" applyFont="1" applyFill="1" applyBorder="1" applyAlignment="1">
      <alignment horizontal="center"/>
    </xf>
    <xf numFmtId="9" fontId="8" fillId="3" borderId="9" xfId="0" applyNumberFormat="1" applyFont="1" applyFill="1" applyBorder="1" applyAlignment="1">
      <alignment horizontal="center"/>
    </xf>
    <xf numFmtId="0" fontId="8" fillId="3" borderId="5" xfId="0" applyFont="1" applyFill="1" applyBorder="1" applyAlignment="1">
      <alignment horizontal="center"/>
    </xf>
    <xf numFmtId="9" fontId="11" fillId="0" borderId="6" xfId="0" applyNumberFormat="1" applyFont="1" applyBorder="1" applyAlignment="1">
      <alignment horizontal="center"/>
    </xf>
    <xf numFmtId="9" fontId="11" fillId="0" borderId="160" xfId="0" applyNumberFormat="1" applyFont="1" applyBorder="1" applyAlignment="1">
      <alignment horizontal="center"/>
    </xf>
    <xf numFmtId="0" fontId="11" fillId="3" borderId="5" xfId="0" applyFont="1" applyFill="1" applyBorder="1" applyAlignment="1">
      <alignment horizontal="center"/>
    </xf>
    <xf numFmtId="0" fontId="9" fillId="0" borderId="20" xfId="0" applyFont="1" applyBorder="1" applyAlignment="1">
      <alignment horizontal="center"/>
    </xf>
    <xf numFmtId="9" fontId="8" fillId="3" borderId="6" xfId="0" applyNumberFormat="1" applyFont="1" applyFill="1" applyBorder="1" applyAlignment="1">
      <alignment horizontal="center"/>
    </xf>
    <xf numFmtId="0" fontId="11" fillId="18" borderId="6" xfId="0" applyFont="1" applyFill="1" applyBorder="1" applyAlignment="1">
      <alignment horizontal="center"/>
    </xf>
    <xf numFmtId="0" fontId="11" fillId="19" borderId="6" xfId="0" applyFont="1" applyFill="1" applyBorder="1" applyAlignment="1">
      <alignment horizontal="center"/>
    </xf>
    <xf numFmtId="0" fontId="11" fillId="0" borderId="6" xfId="0" applyFont="1" applyBorder="1" applyAlignment="1">
      <alignment horizontal="center"/>
    </xf>
    <xf numFmtId="0" fontId="11" fillId="0" borderId="162" xfId="0" applyFont="1" applyBorder="1" applyAlignment="1">
      <alignment horizontal="center"/>
    </xf>
    <xf numFmtId="0" fontId="11" fillId="0" borderId="20" xfId="0" applyFont="1" applyBorder="1" applyAlignment="1">
      <alignment horizontal="center"/>
    </xf>
    <xf numFmtId="0" fontId="9" fillId="0" borderId="162" xfId="0" applyFont="1" applyBorder="1"/>
    <xf numFmtId="0" fontId="9" fillId="0" borderId="20" xfId="0" applyFont="1" applyBorder="1"/>
    <xf numFmtId="0" fontId="8" fillId="3" borderId="165" xfId="0" applyFont="1" applyFill="1" applyBorder="1"/>
    <xf numFmtId="0" fontId="8" fillId="3" borderId="14" xfId="0" applyFont="1" applyFill="1" applyBorder="1"/>
    <xf numFmtId="0" fontId="8" fillId="3" borderId="166" xfId="0" applyFont="1" applyFill="1" applyBorder="1"/>
    <xf numFmtId="0" fontId="9" fillId="0" borderId="166" xfId="0" applyFont="1" applyBorder="1"/>
    <xf numFmtId="0" fontId="4" fillId="0" borderId="167" xfId="0" applyFont="1" applyBorder="1" applyAlignment="1">
      <alignment horizontal="center"/>
    </xf>
    <xf numFmtId="0" fontId="4" fillId="0" borderId="167" xfId="0" applyFont="1" applyBorder="1"/>
    <xf numFmtId="0" fontId="4" fillId="3" borderId="21" xfId="0" applyFont="1" applyFill="1" applyBorder="1"/>
    <xf numFmtId="0" fontId="5" fillId="17" borderId="168" xfId="0" applyFont="1" applyFill="1" applyBorder="1" applyAlignment="1">
      <alignment horizontal="left"/>
    </xf>
    <xf numFmtId="0" fontId="33" fillId="17" borderId="169" xfId="0" applyFont="1" applyFill="1" applyBorder="1" applyAlignment="1">
      <alignment horizontal="left"/>
    </xf>
    <xf numFmtId="0" fontId="5" fillId="17" borderId="169" xfId="0" applyFont="1" applyFill="1" applyBorder="1" applyAlignment="1">
      <alignment horizontal="center"/>
    </xf>
    <xf numFmtId="0" fontId="5" fillId="17" borderId="169" xfId="0" applyFont="1" applyFill="1" applyBorder="1"/>
    <xf numFmtId="0" fontId="4" fillId="17" borderId="170" xfId="0" applyFont="1" applyFill="1" applyBorder="1"/>
    <xf numFmtId="0" fontId="4" fillId="0" borderId="161" xfId="0" applyFont="1" applyBorder="1"/>
    <xf numFmtId="0" fontId="5" fillId="13" borderId="171" xfId="0" applyFont="1" applyFill="1" applyBorder="1" applyAlignment="1">
      <alignment horizontal="center"/>
    </xf>
    <xf numFmtId="0" fontId="5" fillId="13" borderId="172" xfId="0" applyFont="1" applyFill="1" applyBorder="1" applyAlignment="1">
      <alignment horizontal="center"/>
    </xf>
    <xf numFmtId="0" fontId="5" fillId="13" borderId="172" xfId="0" applyFont="1" applyFill="1" applyBorder="1" applyAlignment="1">
      <alignment horizontal="left"/>
    </xf>
    <xf numFmtId="0" fontId="5" fillId="13" borderId="172" xfId="0" applyFont="1" applyFill="1" applyBorder="1"/>
    <xf numFmtId="0" fontId="4" fillId="13" borderId="173" xfId="0" applyFont="1" applyFill="1" applyBorder="1"/>
    <xf numFmtId="0" fontId="5" fillId="13" borderId="174" xfId="0" applyFont="1" applyFill="1" applyBorder="1" applyAlignment="1">
      <alignment horizontal="center"/>
    </xf>
    <xf numFmtId="0" fontId="5" fillId="13" borderId="47" xfId="0" applyFont="1" applyFill="1" applyBorder="1" applyAlignment="1">
      <alignment horizontal="center"/>
    </xf>
    <xf numFmtId="0" fontId="33" fillId="13" borderId="47" xfId="0" applyFont="1" applyFill="1" applyBorder="1" applyAlignment="1">
      <alignment horizontal="center"/>
    </xf>
    <xf numFmtId="0" fontId="33" fillId="13" borderId="47" xfId="0" applyFont="1" applyFill="1" applyBorder="1"/>
    <xf numFmtId="0" fontId="33" fillId="13" borderId="47" xfId="0" applyFont="1" applyFill="1" applyBorder="1" applyAlignment="1">
      <alignment horizontal="right"/>
    </xf>
    <xf numFmtId="0" fontId="5" fillId="13" borderId="5" xfId="0" applyFont="1" applyFill="1" applyBorder="1"/>
    <xf numFmtId="0" fontId="4" fillId="13" borderId="175" xfId="0" applyFont="1" applyFill="1" applyBorder="1"/>
    <xf numFmtId="0" fontId="5" fillId="13" borderId="5" xfId="0" applyFont="1" applyFill="1" applyBorder="1" applyAlignment="1">
      <alignment horizontal="center"/>
    </xf>
    <xf numFmtId="3" fontId="5" fillId="13" borderId="5" xfId="0" applyNumberFormat="1" applyFont="1" applyFill="1" applyBorder="1" applyAlignment="1">
      <alignment horizontal="center"/>
    </xf>
    <xf numFmtId="3" fontId="5" fillId="13" borderId="5" xfId="0" applyNumberFormat="1" applyFont="1" applyFill="1" applyBorder="1" applyAlignment="1">
      <alignment horizontal="right"/>
    </xf>
    <xf numFmtId="0" fontId="5" fillId="13" borderId="174" xfId="0" applyFont="1" applyFill="1" applyBorder="1" applyAlignment="1">
      <alignment horizontal="right"/>
    </xf>
    <xf numFmtId="0" fontId="5" fillId="13" borderId="5" xfId="0" applyFont="1" applyFill="1" applyBorder="1" applyAlignment="1">
      <alignment horizontal="right"/>
    </xf>
    <xf numFmtId="0" fontId="11" fillId="0" borderId="176" xfId="0" applyFont="1" applyBorder="1" applyAlignment="1">
      <alignment horizontal="center"/>
    </xf>
    <xf numFmtId="166" fontId="5" fillId="13" borderId="5" xfId="0" applyNumberFormat="1" applyFont="1" applyFill="1" applyBorder="1" applyAlignment="1">
      <alignment horizontal="center"/>
    </xf>
    <xf numFmtId="166" fontId="5" fillId="13" borderId="5" xfId="0" applyNumberFormat="1" applyFont="1" applyFill="1" applyBorder="1"/>
    <xf numFmtId="0" fontId="8" fillId="0" borderId="6" xfId="0" applyFont="1" applyBorder="1" applyAlignment="1">
      <alignment horizontal="center"/>
    </xf>
    <xf numFmtId="166" fontId="5" fillId="13" borderId="5" xfId="0" applyNumberFormat="1" applyFont="1" applyFill="1" applyBorder="1" applyAlignment="1">
      <alignment horizontal="right"/>
    </xf>
    <xf numFmtId="0" fontId="8" fillId="3" borderId="6" xfId="0" applyFont="1" applyFill="1" applyBorder="1" applyAlignment="1">
      <alignment horizontal="left"/>
    </xf>
    <xf numFmtId="0" fontId="4" fillId="13" borderId="175" xfId="0" applyFont="1" applyFill="1" applyBorder="1" applyAlignment="1">
      <alignment horizontal="center"/>
    </xf>
    <xf numFmtId="0" fontId="4" fillId="0" borderId="177" xfId="0" applyFont="1" applyBorder="1"/>
    <xf numFmtId="0" fontId="0" fillId="3" borderId="6" xfId="0" applyFont="1" applyFill="1" applyBorder="1" applyAlignment="1">
      <alignment horizontal="center"/>
    </xf>
    <xf numFmtId="9" fontId="4" fillId="0" borderId="6" xfId="0" applyNumberFormat="1" applyFont="1" applyBorder="1" applyAlignment="1">
      <alignment horizontal="center"/>
    </xf>
    <xf numFmtId="0" fontId="0" fillId="3" borderId="120" xfId="0" applyFont="1" applyFill="1" applyBorder="1"/>
    <xf numFmtId="0" fontId="8" fillId="3" borderId="120" xfId="0" applyFont="1" applyFill="1" applyBorder="1"/>
    <xf numFmtId="0" fontId="8" fillId="7" borderId="120" xfId="0" applyFont="1" applyFill="1" applyBorder="1"/>
    <xf numFmtId="0" fontId="12" fillId="6" borderId="120" xfId="0" applyFont="1" applyFill="1" applyBorder="1"/>
    <xf numFmtId="0" fontId="8" fillId="6" borderId="120" xfId="0" applyFont="1" applyFill="1" applyBorder="1"/>
    <xf numFmtId="3" fontId="8" fillId="7" borderId="178" xfId="0" applyNumberFormat="1" applyFont="1" applyFill="1" applyBorder="1"/>
    <xf numFmtId="0" fontId="14" fillId="7" borderId="120" xfId="0" applyFont="1" applyFill="1" applyBorder="1"/>
    <xf numFmtId="0" fontId="14" fillId="7" borderId="120" xfId="0" applyFont="1" applyFill="1" applyBorder="1" applyAlignment="1">
      <alignment horizontal="right"/>
    </xf>
    <xf numFmtId="0" fontId="8" fillId="7" borderId="178" xfId="0" applyFont="1" applyFill="1" applyBorder="1" applyAlignment="1">
      <alignment horizontal="right"/>
    </xf>
    <xf numFmtId="0" fontId="14" fillId="7" borderId="120" xfId="0" applyFont="1" applyFill="1" applyBorder="1" applyAlignment="1">
      <alignment horizontal="center" wrapText="1"/>
    </xf>
    <xf numFmtId="0" fontId="8" fillId="7" borderId="179" xfId="0" applyFont="1" applyFill="1" applyBorder="1" applyAlignment="1">
      <alignment horizontal="right"/>
    </xf>
    <xf numFmtId="3" fontId="14" fillId="7" borderId="120" xfId="0" applyNumberFormat="1" applyFont="1" applyFill="1" applyBorder="1"/>
    <xf numFmtId="171" fontId="8" fillId="8" borderId="22" xfId="0" applyNumberFormat="1" applyFont="1" applyFill="1" applyBorder="1" applyProtection="1">
      <protection locked="0"/>
    </xf>
    <xf numFmtId="0" fontId="1" fillId="20" borderId="22" xfId="1" applyBorder="1" applyProtection="1">
      <protection locked="0"/>
    </xf>
    <xf numFmtId="164" fontId="0" fillId="15" borderId="22" xfId="0" applyNumberFormat="1" applyFont="1" applyFill="1" applyBorder="1" applyProtection="1">
      <protection locked="0"/>
    </xf>
    <xf numFmtId="3" fontId="8" fillId="8" borderId="22" xfId="0" applyNumberFormat="1" applyFont="1" applyFill="1" applyBorder="1" applyProtection="1">
      <protection locked="0"/>
    </xf>
    <xf numFmtId="164" fontId="0" fillId="15" borderId="51" xfId="0" applyNumberFormat="1" applyFont="1" applyFill="1" applyBorder="1" applyProtection="1">
      <protection locked="0"/>
    </xf>
    <xf numFmtId="0" fontId="1" fillId="20" borderId="180" xfId="1" applyBorder="1" applyAlignment="1" applyProtection="1">
      <alignment horizontal="center" wrapText="1"/>
      <protection locked="0"/>
    </xf>
    <xf numFmtId="0" fontId="1" fillId="20" borderId="181" xfId="1" applyBorder="1" applyAlignment="1" applyProtection="1">
      <alignment horizontal="center" wrapText="1"/>
      <protection locked="0"/>
    </xf>
    <xf numFmtId="0" fontId="1" fillId="20" borderId="182" xfId="1" applyBorder="1" applyAlignment="1" applyProtection="1">
      <alignment horizontal="center" wrapText="1"/>
      <protection locked="0"/>
    </xf>
    <xf numFmtId="4" fontId="8" fillId="8" borderId="22" xfId="0" applyNumberFormat="1" applyFont="1" applyFill="1" applyBorder="1" applyProtection="1">
      <protection locked="0"/>
    </xf>
    <xf numFmtId="0" fontId="8" fillId="8" borderId="32" xfId="0" applyFont="1" applyFill="1" applyBorder="1" applyAlignment="1" applyProtection="1">
      <alignment horizontal="right"/>
      <protection locked="0"/>
    </xf>
    <xf numFmtId="0" fontId="8" fillId="8" borderId="22" xfId="0" applyFont="1" applyFill="1" applyBorder="1" applyAlignment="1" applyProtection="1">
      <alignment horizontal="right"/>
      <protection locked="0"/>
    </xf>
    <xf numFmtId="3" fontId="8" fillId="8" borderId="22" xfId="0" applyNumberFormat="1" applyFont="1" applyFill="1" applyBorder="1" applyAlignment="1" applyProtection="1">
      <alignment horizontal="right"/>
      <protection locked="0"/>
    </xf>
    <xf numFmtId="165" fontId="8" fillId="8" borderId="22" xfId="0" applyNumberFormat="1" applyFont="1" applyFill="1" applyBorder="1" applyAlignment="1" applyProtection="1">
      <alignment horizontal="right"/>
      <protection locked="0"/>
    </xf>
    <xf numFmtId="0" fontId="8" fillId="8" borderId="49" xfId="0" applyFont="1" applyFill="1" applyBorder="1" applyAlignment="1" applyProtection="1">
      <alignment horizontal="right"/>
      <protection locked="0"/>
    </xf>
    <xf numFmtId="0" fontId="0" fillId="8" borderId="22" xfId="0" applyFont="1" applyFill="1" applyBorder="1" applyProtection="1">
      <protection locked="0"/>
    </xf>
    <xf numFmtId="0" fontId="8" fillId="8" borderId="22" xfId="0" applyFont="1" applyFill="1" applyBorder="1" applyProtection="1">
      <protection locked="0"/>
    </xf>
    <xf numFmtId="0" fontId="8" fillId="8" borderId="35" xfId="0" applyFont="1" applyFill="1" applyBorder="1" applyProtection="1">
      <protection locked="0"/>
    </xf>
    <xf numFmtId="0" fontId="8" fillId="8" borderId="50" xfId="0" applyFont="1" applyFill="1" applyBorder="1" applyProtection="1">
      <protection locked="0"/>
    </xf>
    <xf numFmtId="0" fontId="8" fillId="8" borderId="59" xfId="0" applyFont="1" applyFill="1" applyBorder="1" applyProtection="1">
      <protection locked="0"/>
    </xf>
    <xf numFmtId="0" fontId="8" fillId="8" borderId="49" xfId="0" applyFont="1" applyFill="1" applyBorder="1" applyProtection="1">
      <protection locked="0"/>
    </xf>
    <xf numFmtId="164" fontId="8" fillId="8" borderId="50" xfId="0" applyNumberFormat="1" applyFont="1" applyFill="1" applyBorder="1" applyProtection="1">
      <protection locked="0"/>
    </xf>
    <xf numFmtId="164" fontId="8" fillId="8" borderId="22" xfId="0" applyNumberFormat="1" applyFont="1" applyFill="1" applyBorder="1" applyProtection="1">
      <protection locked="0"/>
    </xf>
    <xf numFmtId="0" fontId="8" fillId="8" borderId="104" xfId="0" applyFont="1" applyFill="1" applyBorder="1" applyProtection="1">
      <protection locked="0"/>
    </xf>
    <xf numFmtId="0" fontId="8" fillId="8" borderId="105" xfId="0" applyFont="1" applyFill="1" applyBorder="1" applyProtection="1">
      <protection locked="0"/>
    </xf>
    <xf numFmtId="3" fontId="8" fillId="8" borderId="32" xfId="0" applyNumberFormat="1" applyFont="1" applyFill="1" applyBorder="1" applyAlignment="1" applyProtection="1">
      <alignment horizontal="center"/>
      <protection locked="0"/>
    </xf>
    <xf numFmtId="165" fontId="8" fillId="8" borderId="50" xfId="0" applyNumberFormat="1" applyFont="1" applyFill="1" applyBorder="1" applyProtection="1">
      <protection locked="0"/>
    </xf>
    <xf numFmtId="165" fontId="8" fillId="8" borderId="35" xfId="0" applyNumberFormat="1" applyFont="1" applyFill="1" applyBorder="1" applyProtection="1">
      <protection locked="0"/>
    </xf>
    <xf numFmtId="165" fontId="8" fillId="8" borderId="111" xfId="0" applyNumberFormat="1" applyFont="1" applyFill="1" applyBorder="1" applyProtection="1">
      <protection locked="0"/>
    </xf>
    <xf numFmtId="9" fontId="8" fillId="8" borderId="50" xfId="0" applyNumberFormat="1" applyFont="1" applyFill="1" applyBorder="1" applyProtection="1">
      <protection locked="0"/>
    </xf>
    <xf numFmtId="9" fontId="8" fillId="8" borderId="35" xfId="0" applyNumberFormat="1" applyFont="1" applyFill="1" applyBorder="1" applyProtection="1">
      <protection locked="0"/>
    </xf>
    <xf numFmtId="9" fontId="8" fillId="8" borderId="22" xfId="0" applyNumberFormat="1" applyFont="1" applyFill="1" applyBorder="1" applyProtection="1">
      <protection locked="0"/>
    </xf>
    <xf numFmtId="0" fontId="8" fillId="11" borderId="22" xfId="0" applyFont="1" applyFill="1" applyBorder="1" applyProtection="1">
      <protection locked="0"/>
    </xf>
    <xf numFmtId="0" fontId="8" fillId="11" borderId="32" xfId="0" applyFont="1" applyFill="1" applyBorder="1" applyProtection="1">
      <protection locked="0"/>
    </xf>
    <xf numFmtId="0" fontId="37" fillId="7" borderId="22" xfId="0" applyFont="1" applyFill="1" applyBorder="1" applyAlignment="1">
      <alignment horizontal="center"/>
    </xf>
    <xf numFmtId="3" fontId="8" fillId="8" borderId="22" xfId="0" applyNumberFormat="1" applyFont="1" applyFill="1" applyBorder="1" applyAlignment="1" applyProtection="1">
      <alignment horizontal="center"/>
      <protection locked="0"/>
    </xf>
    <xf numFmtId="0" fontId="8" fillId="8" borderId="22" xfId="0" applyFont="1" applyFill="1" applyBorder="1" applyAlignment="1" applyProtection="1">
      <alignment horizontal="center"/>
      <protection locked="0"/>
    </xf>
    <xf numFmtId="0" fontId="8" fillId="11" borderId="118" xfId="0" applyFont="1" applyFill="1" applyBorder="1" applyProtection="1">
      <protection locked="0"/>
    </xf>
    <xf numFmtId="0" fontId="0" fillId="0" borderId="0" xfId="0" applyFont="1" applyAlignment="1"/>
    <xf numFmtId="0" fontId="3" fillId="0" borderId="161" xfId="0" applyFont="1" applyBorder="1"/>
    <xf numFmtId="165" fontId="8" fillId="11" borderId="50" xfId="0" applyNumberFormat="1" applyFont="1" applyFill="1" applyBorder="1" applyProtection="1">
      <protection locked="0"/>
    </xf>
    <xf numFmtId="168" fontId="8" fillId="8" borderId="51" xfId="0" applyNumberFormat="1" applyFont="1" applyFill="1" applyBorder="1" applyProtection="1">
      <protection locked="0"/>
    </xf>
    <xf numFmtId="165" fontId="8" fillId="8" borderId="142" xfId="0" applyNumberFormat="1" applyFont="1" applyFill="1" applyBorder="1" applyProtection="1">
      <protection locked="0"/>
    </xf>
    <xf numFmtId="0" fontId="0" fillId="0" borderId="0" xfId="0" applyFont="1" applyAlignment="1"/>
    <xf numFmtId="0" fontId="16" fillId="17" borderId="120" xfId="0" applyFont="1" applyFill="1" applyBorder="1" applyAlignment="1">
      <alignment horizontal="center"/>
    </xf>
    <xf numFmtId="0" fontId="8" fillId="3" borderId="160" xfId="0" applyFont="1" applyFill="1" applyBorder="1"/>
    <xf numFmtId="0" fontId="3" fillId="0" borderId="162" xfId="0" applyFont="1" applyBorder="1"/>
    <xf numFmtId="0" fontId="9" fillId="0" borderId="120" xfId="0" applyFont="1" applyBorder="1"/>
    <xf numFmtId="0" fontId="8" fillId="21" borderId="6" xfId="0" applyFont="1" applyFill="1" applyBorder="1" applyAlignment="1">
      <alignment vertical="top" wrapText="1"/>
    </xf>
    <xf numFmtId="0" fontId="0" fillId="0" borderId="0" xfId="0" applyFont="1" applyAlignment="1"/>
    <xf numFmtId="0" fontId="3" fillId="0" borderId="120" xfId="0" applyFont="1" applyBorder="1"/>
    <xf numFmtId="0" fontId="4" fillId="3" borderId="161" xfId="0" applyFont="1" applyFill="1" applyBorder="1"/>
    <xf numFmtId="9" fontId="9" fillId="8" borderId="184" xfId="0" applyNumberFormat="1" applyFont="1" applyFill="1" applyBorder="1" applyProtection="1">
      <protection locked="0"/>
    </xf>
    <xf numFmtId="164" fontId="8" fillId="8" borderId="150" xfId="0" applyNumberFormat="1" applyFont="1" applyFill="1" applyBorder="1" applyAlignment="1" applyProtection="1">
      <alignment horizontal="right"/>
      <protection locked="0"/>
    </xf>
    <xf numFmtId="0" fontId="8" fillId="8" borderId="183" xfId="0" applyFont="1" applyFill="1" applyBorder="1" applyAlignment="1" applyProtection="1">
      <alignment horizontal="right"/>
      <protection locked="0"/>
    </xf>
    <xf numFmtId="0" fontId="39" fillId="7" borderId="5" xfId="0" applyFont="1" applyFill="1" applyBorder="1" applyAlignment="1">
      <alignment horizontal="right"/>
    </xf>
    <xf numFmtId="0" fontId="7" fillId="3" borderId="121" xfId="0" applyFont="1" applyFill="1" applyBorder="1"/>
    <xf numFmtId="0" fontId="0" fillId="3" borderId="167" xfId="0" applyFont="1" applyFill="1" applyBorder="1"/>
    <xf numFmtId="0" fontId="8" fillId="3" borderId="177" xfId="0" applyFont="1" applyFill="1" applyBorder="1"/>
    <xf numFmtId="0" fontId="14" fillId="3" borderId="120" xfId="0" applyFont="1" applyFill="1" applyBorder="1"/>
    <xf numFmtId="0" fontId="8" fillId="7" borderId="120" xfId="0" applyFont="1" applyFill="1" applyBorder="1" applyAlignment="1">
      <alignment horizontal="right"/>
    </xf>
    <xf numFmtId="0" fontId="4" fillId="3" borderId="160" xfId="0" applyFont="1" applyFill="1" applyBorder="1"/>
    <xf numFmtId="0" fontId="4" fillId="3" borderId="177" xfId="0" applyFont="1" applyFill="1" applyBorder="1"/>
    <xf numFmtId="0" fontId="16" fillId="2" borderId="196" xfId="0" applyFont="1" applyFill="1" applyBorder="1"/>
    <xf numFmtId="0" fontId="16" fillId="2" borderId="197" xfId="0" applyFont="1" applyFill="1" applyBorder="1"/>
    <xf numFmtId="0" fontId="8" fillId="2" borderId="197" xfId="0" applyFont="1" applyFill="1" applyBorder="1"/>
    <xf numFmtId="0" fontId="8" fillId="2" borderId="198" xfId="0" applyFont="1" applyFill="1" applyBorder="1"/>
    <xf numFmtId="0" fontId="8" fillId="7" borderId="199" xfId="0" applyFont="1" applyFill="1" applyBorder="1" applyAlignment="1">
      <alignment horizontal="right"/>
    </xf>
    <xf numFmtId="0" fontId="8" fillId="7" borderId="200" xfId="0" applyFont="1" applyFill="1" applyBorder="1"/>
    <xf numFmtId="0" fontId="8" fillId="7" borderId="186" xfId="0" applyFont="1" applyFill="1" applyBorder="1" applyAlignment="1">
      <alignment horizontal="right"/>
    </xf>
    <xf numFmtId="0" fontId="8" fillId="7" borderId="201" xfId="0" applyFont="1" applyFill="1" applyBorder="1" applyAlignment="1">
      <alignment horizontal="right"/>
    </xf>
    <xf numFmtId="3" fontId="8" fillId="7" borderId="202" xfId="0" applyNumberFormat="1" applyFont="1" applyFill="1" applyBorder="1" applyAlignment="1">
      <alignment horizontal="center"/>
    </xf>
    <xf numFmtId="0" fontId="8" fillId="7" borderId="201" xfId="0" applyFont="1" applyFill="1" applyBorder="1"/>
    <xf numFmtId="0" fontId="8" fillId="7" borderId="187" xfId="0" applyFont="1" applyFill="1" applyBorder="1"/>
    <xf numFmtId="0" fontId="8" fillId="7" borderId="120" xfId="0" applyFont="1" applyFill="1" applyBorder="1" applyAlignment="1">
      <alignment horizontal="left"/>
    </xf>
    <xf numFmtId="0" fontId="0" fillId="23" borderId="205" xfId="0" applyFont="1" applyFill="1" applyBorder="1"/>
    <xf numFmtId="0" fontId="0" fillId="23" borderId="22" xfId="0" applyFont="1" applyFill="1" applyBorder="1"/>
    <xf numFmtId="0" fontId="17" fillId="23" borderId="22" xfId="0" applyFont="1" applyFill="1" applyBorder="1"/>
    <xf numFmtId="0" fontId="4" fillId="22" borderId="206" xfId="0" applyFont="1" applyFill="1" applyBorder="1"/>
    <xf numFmtId="0" fontId="0" fillId="23" borderId="207" xfId="0" applyFont="1" applyFill="1" applyBorder="1"/>
    <xf numFmtId="0" fontId="17" fillId="23" borderId="202" xfId="0" applyFont="1" applyFill="1" applyBorder="1"/>
    <xf numFmtId="0" fontId="4" fillId="22" borderId="208" xfId="0" applyFont="1" applyFill="1" applyBorder="1"/>
    <xf numFmtId="0" fontId="0" fillId="23" borderId="205" xfId="0" applyFont="1" applyFill="1" applyBorder="1" applyAlignment="1">
      <alignment horizontal="center"/>
    </xf>
    <xf numFmtId="166" fontId="0" fillId="22" borderId="22" xfId="0" applyNumberFormat="1" applyFont="1" applyFill="1" applyBorder="1" applyAlignment="1">
      <alignment horizontal="center"/>
    </xf>
    <xf numFmtId="3" fontId="0" fillId="23" borderId="22" xfId="0" applyNumberFormat="1" applyFont="1" applyFill="1" applyBorder="1" applyAlignment="1">
      <alignment horizontal="center"/>
    </xf>
    <xf numFmtId="3" fontId="0" fillId="23" borderId="209" xfId="0" applyNumberFormat="1" applyFont="1" applyFill="1" applyBorder="1" applyAlignment="1">
      <alignment horizontal="center"/>
    </xf>
    <xf numFmtId="0" fontId="0" fillId="23" borderId="210" xfId="0" applyFont="1" applyFill="1" applyBorder="1" applyAlignment="1">
      <alignment horizontal="center"/>
    </xf>
    <xf numFmtId="3" fontId="0" fillId="23" borderId="211" xfId="0" applyNumberFormat="1" applyFont="1" applyFill="1" applyBorder="1" applyAlignment="1">
      <alignment horizontal="center"/>
    </xf>
    <xf numFmtId="0" fontId="6" fillId="22" borderId="212" xfId="0" applyFont="1" applyFill="1" applyBorder="1" applyAlignment="1">
      <alignment horizontal="right"/>
    </xf>
    <xf numFmtId="0" fontId="0" fillId="23" borderId="213" xfId="0" applyFont="1" applyFill="1" applyBorder="1"/>
    <xf numFmtId="3" fontId="6" fillId="22" borderId="214" xfId="0" applyNumberFormat="1" applyFont="1" applyFill="1" applyBorder="1" applyAlignment="1">
      <alignment horizontal="center"/>
    </xf>
    <xf numFmtId="0" fontId="40" fillId="23" borderId="185" xfId="0" applyFont="1" applyFill="1" applyBorder="1" applyAlignment="1">
      <alignment horizontal="right"/>
    </xf>
    <xf numFmtId="0" fontId="4" fillId="22" borderId="215" xfId="0" applyFont="1" applyFill="1" applyBorder="1"/>
    <xf numFmtId="0" fontId="8" fillId="23" borderId="186" xfId="0" applyFont="1" applyFill="1" applyBorder="1"/>
    <xf numFmtId="9" fontId="8" fillId="23" borderId="187" xfId="0" applyNumberFormat="1" applyFont="1" applyFill="1" applyBorder="1"/>
    <xf numFmtId="0" fontId="14" fillId="24" borderId="5" xfId="0" applyFont="1" applyFill="1" applyBorder="1" applyAlignment="1">
      <alignment horizontal="left"/>
    </xf>
    <xf numFmtId="0" fontId="8" fillId="24" borderId="5" xfId="0" applyFont="1" applyFill="1" applyBorder="1"/>
    <xf numFmtId="3" fontId="8" fillId="24" borderId="5" xfId="0" applyNumberFormat="1" applyFont="1" applyFill="1" applyBorder="1" applyAlignment="1">
      <alignment horizontal="left"/>
    </xf>
    <xf numFmtId="0" fontId="14" fillId="24" borderId="5" xfId="0" applyFont="1" applyFill="1" applyBorder="1"/>
    <xf numFmtId="0" fontId="8" fillId="24" borderId="47" xfId="0" applyFont="1" applyFill="1" applyBorder="1"/>
    <xf numFmtId="10" fontId="8" fillId="24" borderId="5" xfId="0" applyNumberFormat="1" applyFont="1" applyFill="1" applyBorder="1" applyAlignment="1">
      <alignment horizontal="left"/>
    </xf>
    <xf numFmtId="0" fontId="9" fillId="8" borderId="160" xfId="0" applyFont="1" applyFill="1" applyBorder="1" applyAlignment="1">
      <alignment horizontal="left"/>
    </xf>
    <xf numFmtId="0" fontId="9" fillId="8" borderId="161" xfId="0" applyFont="1" applyFill="1" applyBorder="1" applyAlignment="1">
      <alignment horizontal="left"/>
    </xf>
    <xf numFmtId="0" fontId="9" fillId="3" borderId="6" xfId="0" applyFont="1" applyFill="1" applyBorder="1" applyAlignment="1">
      <alignment horizontal="left"/>
    </xf>
    <xf numFmtId="0" fontId="9" fillId="11" borderId="5" xfId="0" applyFont="1" applyFill="1" applyBorder="1" applyAlignment="1">
      <alignment horizontal="left"/>
    </xf>
    <xf numFmtId="0" fontId="9" fillId="11" borderId="120" xfId="0" applyFont="1" applyFill="1" applyBorder="1" applyAlignment="1">
      <alignment horizontal="left"/>
    </xf>
    <xf numFmtId="0" fontId="9" fillId="3" borderId="14" xfId="0" applyFont="1" applyFill="1" applyBorder="1" applyAlignment="1">
      <alignment horizontal="left"/>
    </xf>
    <xf numFmtId="4" fontId="8" fillId="7" borderId="216" xfId="0" applyNumberFormat="1" applyFont="1" applyFill="1" applyBorder="1" applyAlignment="1">
      <alignment horizontal="left"/>
    </xf>
    <xf numFmtId="4" fontId="8" fillId="7" borderId="217" xfId="0" applyNumberFormat="1" applyFont="1" applyFill="1" applyBorder="1" applyAlignment="1">
      <alignment horizontal="left"/>
    </xf>
    <xf numFmtId="0" fontId="9" fillId="3" borderId="177" xfId="0" applyFont="1" applyFill="1" applyBorder="1" applyAlignment="1">
      <alignment horizontal="left"/>
    </xf>
    <xf numFmtId="0" fontId="9" fillId="12" borderId="6" xfId="0" applyFont="1" applyFill="1" applyBorder="1" applyAlignment="1">
      <alignment horizontal="left"/>
    </xf>
    <xf numFmtId="0" fontId="9" fillId="3" borderId="218" xfId="0" applyFont="1" applyFill="1" applyBorder="1" applyAlignment="1">
      <alignment horizontal="left"/>
    </xf>
    <xf numFmtId="0" fontId="9" fillId="3" borderId="219" xfId="0" applyFont="1" applyFill="1" applyBorder="1" applyAlignment="1">
      <alignment horizontal="left"/>
    </xf>
    <xf numFmtId="0" fontId="8" fillId="7" borderId="120" xfId="0" applyFont="1" applyFill="1" applyBorder="1" applyAlignment="1">
      <alignment horizontal="left"/>
    </xf>
    <xf numFmtId="0" fontId="0" fillId="0" borderId="0" xfId="0" applyFont="1" applyAlignment="1"/>
    <xf numFmtId="0" fontId="3" fillId="0" borderId="120" xfId="0" applyFont="1" applyBorder="1"/>
    <xf numFmtId="0" fontId="9" fillId="3" borderId="161" xfId="0" applyFont="1" applyFill="1" applyBorder="1"/>
    <xf numFmtId="0" fontId="11" fillId="2" borderId="185" xfId="0" applyFont="1" applyFill="1" applyBorder="1" applyAlignment="1">
      <alignment horizontal="left" vertical="center"/>
    </xf>
    <xf numFmtId="0" fontId="11" fillId="2" borderId="179" xfId="0" applyFont="1" applyFill="1" applyBorder="1" applyAlignment="1">
      <alignment horizontal="left" vertical="center"/>
    </xf>
    <xf numFmtId="0" fontId="11" fillId="2" borderId="221" xfId="0" applyFont="1" applyFill="1" applyBorder="1" applyAlignment="1">
      <alignment horizontal="left" vertical="center"/>
    </xf>
    <xf numFmtId="0" fontId="4" fillId="3" borderId="163" xfId="0" applyFont="1" applyFill="1" applyBorder="1"/>
    <xf numFmtId="0" fontId="4" fillId="3" borderId="167" xfId="0" applyFont="1" applyFill="1" applyBorder="1"/>
    <xf numFmtId="0" fontId="7" fillId="25" borderId="222" xfId="0" applyFont="1" applyFill="1" applyBorder="1" applyAlignment="1"/>
    <xf numFmtId="0" fontId="40" fillId="25" borderId="0" xfId="0" applyFont="1" applyFill="1" applyAlignment="1"/>
    <xf numFmtId="0" fontId="0" fillId="25" borderId="0" xfId="0" applyFont="1" applyFill="1" applyAlignment="1"/>
    <xf numFmtId="0" fontId="40" fillId="25" borderId="185" xfId="0" applyFont="1" applyFill="1" applyBorder="1" applyAlignment="1"/>
    <xf numFmtId="0" fontId="0" fillId="25" borderId="221" xfId="0" applyFont="1" applyFill="1" applyBorder="1" applyAlignment="1"/>
    <xf numFmtId="0" fontId="41" fillId="25" borderId="0" xfId="0" applyFont="1" applyFill="1" applyAlignment="1">
      <alignment horizontal="left" vertical="center" wrapText="1"/>
    </xf>
    <xf numFmtId="0" fontId="0" fillId="0" borderId="120" xfId="0" applyBorder="1"/>
    <xf numFmtId="0" fontId="8" fillId="7" borderId="223" xfId="0" applyFont="1" applyFill="1" applyBorder="1"/>
    <xf numFmtId="164" fontId="8" fillId="7" borderId="183" xfId="4" applyNumberFormat="1" applyFont="1" applyFill="1" applyBorder="1" applyAlignment="1">
      <alignment horizontal="center"/>
    </xf>
    <xf numFmtId="166" fontId="8" fillId="7" borderId="52" xfId="0" applyNumberFormat="1" applyFont="1" applyFill="1" applyBorder="1" applyAlignment="1">
      <alignment horizontal="center"/>
    </xf>
    <xf numFmtId="1" fontId="8" fillId="8" borderId="183" xfId="0" applyNumberFormat="1" applyFont="1" applyFill="1" applyBorder="1" applyProtection="1">
      <protection locked="0"/>
    </xf>
    <xf numFmtId="164" fontId="8" fillId="10" borderId="98" xfId="0" applyNumberFormat="1" applyFont="1" applyFill="1" applyBorder="1"/>
    <xf numFmtId="3" fontId="8" fillId="7" borderId="67" xfId="0" applyNumberFormat="1" applyFont="1" applyFill="1" applyBorder="1" applyAlignment="1">
      <alignment horizontal="center"/>
    </xf>
    <xf numFmtId="3" fontId="8" fillId="7" borderId="154" xfId="0" applyNumberFormat="1" applyFont="1" applyFill="1" applyBorder="1" applyAlignment="1">
      <alignment horizontal="center"/>
    </xf>
    <xf numFmtId="0" fontId="8" fillId="7" borderId="71" xfId="0" applyFont="1" applyFill="1" applyBorder="1"/>
    <xf numFmtId="0" fontId="14" fillId="6" borderId="120" xfId="0" applyFont="1" applyFill="1" applyBorder="1"/>
    <xf numFmtId="3" fontId="8" fillId="7" borderId="133" xfId="0" applyNumberFormat="1" applyFont="1" applyFill="1" applyBorder="1" applyAlignment="1">
      <alignment horizontal="center"/>
    </xf>
    <xf numFmtId="167" fontId="8" fillId="7" borderId="118" xfId="0" applyNumberFormat="1" applyFont="1" applyFill="1" applyBorder="1" applyAlignment="1">
      <alignment horizontal="center"/>
    </xf>
    <xf numFmtId="167" fontId="8" fillId="7" borderId="130" xfId="0" applyNumberFormat="1" applyFont="1" applyFill="1" applyBorder="1" applyAlignment="1">
      <alignment horizontal="center"/>
    </xf>
    <xf numFmtId="0" fontId="14" fillId="10" borderId="135" xfId="0" applyFont="1" applyFill="1" applyBorder="1" applyAlignment="1">
      <alignment horizontal="center" wrapText="1"/>
    </xf>
    <xf numFmtId="9" fontId="8" fillId="8" borderId="119" xfId="0" applyNumberFormat="1" applyFont="1" applyFill="1" applyBorder="1" applyProtection="1">
      <protection locked="0"/>
    </xf>
    <xf numFmtId="0" fontId="0" fillId="3" borderId="121" xfId="0" applyFont="1" applyFill="1" applyBorder="1"/>
    <xf numFmtId="0" fontId="2" fillId="2" borderId="2" xfId="0" applyFont="1" applyFill="1" applyBorder="1" applyAlignment="1">
      <alignment vertical="center"/>
    </xf>
    <xf numFmtId="2" fontId="9" fillId="26" borderId="56" xfId="0" applyNumberFormat="1" applyFont="1" applyFill="1" applyBorder="1" applyAlignment="1">
      <alignment horizontal="center"/>
    </xf>
    <xf numFmtId="0" fontId="14" fillId="29" borderId="5" xfId="0" applyFont="1" applyFill="1" applyBorder="1" applyAlignment="1">
      <alignment horizontal="left"/>
    </xf>
    <xf numFmtId="0" fontId="8" fillId="29" borderId="5" xfId="0" applyFont="1" applyFill="1" applyBorder="1"/>
    <xf numFmtId="3" fontId="8" fillId="29" borderId="5" xfId="0" applyNumberFormat="1" applyFont="1" applyFill="1" applyBorder="1" applyAlignment="1">
      <alignment horizontal="left"/>
    </xf>
    <xf numFmtId="0" fontId="14" fillId="29" borderId="5" xfId="0" applyFont="1" applyFill="1" applyBorder="1"/>
    <xf numFmtId="0" fontId="8" fillId="29" borderId="47" xfId="0" applyFont="1" applyFill="1" applyBorder="1"/>
    <xf numFmtId="10" fontId="8" fillId="29" borderId="5" xfId="0" applyNumberFormat="1" applyFont="1" applyFill="1" applyBorder="1" applyAlignment="1">
      <alignment horizontal="left"/>
    </xf>
    <xf numFmtId="0" fontId="8" fillId="29" borderId="5" xfId="0" applyFont="1" applyFill="1" applyBorder="1" applyAlignment="1">
      <alignment horizontal="left"/>
    </xf>
    <xf numFmtId="0" fontId="0" fillId="3" borderId="164" xfId="0" applyFont="1" applyFill="1" applyBorder="1"/>
    <xf numFmtId="2" fontId="9" fillId="26" borderId="113" xfId="0" applyNumberFormat="1" applyFont="1" applyFill="1" applyBorder="1"/>
    <xf numFmtId="2" fontId="9" fillId="26" borderId="77" xfId="0" applyNumberFormat="1" applyFont="1" applyFill="1" applyBorder="1"/>
    <xf numFmtId="0" fontId="8" fillId="28" borderId="199" xfId="0" applyFont="1" applyFill="1" applyBorder="1" applyAlignment="1">
      <alignment horizontal="right"/>
    </xf>
    <xf numFmtId="0" fontId="8" fillId="28" borderId="131" xfId="0" applyFont="1" applyFill="1" applyBorder="1" applyAlignment="1">
      <alignment horizontal="center"/>
    </xf>
    <xf numFmtId="167" fontId="8" fillId="28" borderId="131" xfId="0" applyNumberFormat="1" applyFont="1" applyFill="1" applyBorder="1" applyAlignment="1">
      <alignment horizontal="center"/>
    </xf>
    <xf numFmtId="0" fontId="8" fillId="28" borderId="103" xfId="0" applyFont="1" applyFill="1" applyBorder="1" applyAlignment="1">
      <alignment horizontal="right"/>
    </xf>
    <xf numFmtId="9" fontId="8" fillId="28" borderId="120" xfId="0" applyNumberFormat="1" applyFont="1" applyFill="1" applyBorder="1" applyAlignment="1">
      <alignment horizontal="right"/>
    </xf>
    <xf numFmtId="167" fontId="8" fillId="28" borderId="71" xfId="0" applyNumberFormat="1" applyFont="1" applyFill="1" applyBorder="1" applyAlignment="1">
      <alignment horizontal="center"/>
    </xf>
    <xf numFmtId="167" fontId="8" fillId="28" borderId="200" xfId="0" applyNumberFormat="1" applyFont="1" applyFill="1" applyBorder="1" applyAlignment="1">
      <alignment horizontal="center"/>
    </xf>
    <xf numFmtId="0" fontId="8" fillId="28" borderId="120" xfId="0" applyFont="1" applyFill="1" applyBorder="1" applyAlignment="1">
      <alignment horizontal="center"/>
    </xf>
    <xf numFmtId="0" fontId="8" fillId="28" borderId="186" xfId="0" applyFont="1" applyFill="1" applyBorder="1" applyAlignment="1">
      <alignment horizontal="right"/>
    </xf>
    <xf numFmtId="0" fontId="8" fillId="28" borderId="201" xfId="0" applyFont="1" applyFill="1" applyBorder="1" applyAlignment="1">
      <alignment horizontal="center"/>
    </xf>
    <xf numFmtId="167" fontId="8" fillId="28" borderId="201" xfId="0" applyNumberFormat="1" applyFont="1" applyFill="1" applyBorder="1" applyAlignment="1">
      <alignment horizontal="center"/>
    </xf>
    <xf numFmtId="0" fontId="8" fillId="28" borderId="230" xfId="0" applyFont="1" applyFill="1" applyBorder="1" applyAlignment="1">
      <alignment horizontal="right"/>
    </xf>
    <xf numFmtId="9" fontId="8" fillId="28" borderId="201" xfId="0" applyNumberFormat="1" applyFont="1" applyFill="1" applyBorder="1" applyAlignment="1">
      <alignment horizontal="right"/>
    </xf>
    <xf numFmtId="167" fontId="8" fillId="28" borderId="231" xfId="0" applyNumberFormat="1" applyFont="1" applyFill="1" applyBorder="1" applyAlignment="1">
      <alignment horizontal="center"/>
    </xf>
    <xf numFmtId="167" fontId="8" fillId="28" borderId="187" xfId="0" applyNumberFormat="1" applyFont="1" applyFill="1" applyBorder="1" applyAlignment="1">
      <alignment horizontal="center"/>
    </xf>
    <xf numFmtId="0" fontId="0" fillId="3" borderId="232" xfId="0" applyFont="1" applyFill="1" applyBorder="1"/>
    <xf numFmtId="169" fontId="8" fillId="30" borderId="120" xfId="0" applyNumberFormat="1" applyFont="1" applyFill="1" applyBorder="1" applyAlignment="1">
      <alignment horizontal="center"/>
    </xf>
    <xf numFmtId="0" fontId="9" fillId="30" borderId="120" xfId="0" applyFont="1" applyFill="1" applyBorder="1"/>
    <xf numFmtId="0" fontId="8" fillId="30" borderId="120" xfId="0" applyFont="1" applyFill="1" applyBorder="1"/>
    <xf numFmtId="0" fontId="8" fillId="30" borderId="120" xfId="0" applyFont="1" applyFill="1" applyBorder="1" applyAlignment="1">
      <alignment horizontal="center"/>
    </xf>
    <xf numFmtId="0" fontId="0" fillId="0" borderId="0" xfId="0" applyFont="1" applyAlignment="1"/>
    <xf numFmtId="0" fontId="14" fillId="26" borderId="131" xfId="0" applyFont="1" applyFill="1" applyBorder="1" applyAlignment="1">
      <alignment horizontal="center" vertical="center"/>
    </xf>
    <xf numFmtId="0" fontId="14" fillId="26" borderId="120" xfId="0" applyFont="1" applyFill="1" applyBorder="1" applyAlignment="1">
      <alignment horizontal="center" vertical="center"/>
    </xf>
    <xf numFmtId="0" fontId="14" fillId="26" borderId="121" xfId="0" applyFont="1" applyFill="1" applyBorder="1" applyAlignment="1">
      <alignment horizontal="center" vertical="center"/>
    </xf>
    <xf numFmtId="2" fontId="9" fillId="26" borderId="55" xfId="0" applyNumberFormat="1" applyFont="1" applyFill="1" applyBorder="1"/>
    <xf numFmtId="2" fontId="9" fillId="26" borderId="57" xfId="0" applyNumberFormat="1" applyFont="1" applyFill="1" applyBorder="1"/>
    <xf numFmtId="9" fontId="9" fillId="31" borderId="188" xfId="0" applyNumberFormat="1" applyFont="1" applyFill="1" applyBorder="1" applyProtection="1"/>
    <xf numFmtId="9" fontId="9" fillId="31" borderId="189" xfId="0" applyNumberFormat="1" applyFont="1" applyFill="1" applyBorder="1" applyProtection="1"/>
    <xf numFmtId="9" fontId="9" fillId="31" borderId="190" xfId="0" applyNumberFormat="1" applyFont="1" applyFill="1" applyBorder="1" applyProtection="1"/>
    <xf numFmtId="0" fontId="8" fillId="28" borderId="120" xfId="0" applyFont="1" applyFill="1" applyBorder="1" applyAlignment="1">
      <alignment horizontal="right"/>
    </xf>
    <xf numFmtId="0" fontId="8" fillId="28" borderId="79" xfId="0" applyFont="1" applyFill="1" applyBorder="1" applyAlignment="1">
      <alignment horizontal="center"/>
    </xf>
    <xf numFmtId="167" fontId="8" fillId="28" borderId="79" xfId="0" applyNumberFormat="1" applyFont="1" applyFill="1" applyBorder="1" applyAlignment="1">
      <alignment horizontal="center"/>
    </xf>
    <xf numFmtId="0" fontId="8" fillId="28" borderId="78" xfId="0" applyFont="1" applyFill="1" applyBorder="1" applyAlignment="1">
      <alignment horizontal="right"/>
    </xf>
    <xf numFmtId="9" fontId="8" fillId="28" borderId="5" xfId="0" applyNumberFormat="1" applyFont="1" applyFill="1" applyBorder="1" applyAlignment="1">
      <alignment horizontal="right"/>
    </xf>
    <xf numFmtId="167" fontId="8" fillId="28" borderId="41" xfId="0" applyNumberFormat="1" applyFont="1" applyFill="1" applyBorder="1" applyAlignment="1">
      <alignment horizontal="center"/>
    </xf>
    <xf numFmtId="9" fontId="9" fillId="31" borderId="191" xfId="0" applyNumberFormat="1" applyFont="1" applyFill="1" applyBorder="1" applyProtection="1"/>
    <xf numFmtId="9" fontId="9" fillId="31" borderId="66" xfId="0" applyNumberFormat="1" applyFont="1" applyFill="1" applyBorder="1" applyProtection="1"/>
    <xf numFmtId="9" fontId="9" fillId="31" borderId="192" xfId="0" applyNumberFormat="1" applyFont="1" applyFill="1" applyBorder="1" applyProtection="1"/>
    <xf numFmtId="0" fontId="8" fillId="28" borderId="5" xfId="0" applyFont="1" applyFill="1" applyBorder="1" applyAlignment="1">
      <alignment horizontal="center"/>
    </xf>
    <xf numFmtId="167" fontId="8" fillId="28" borderId="103" xfId="0" applyNumberFormat="1" applyFont="1" applyFill="1" applyBorder="1" applyAlignment="1">
      <alignment horizontal="right"/>
    </xf>
    <xf numFmtId="167" fontId="8" fillId="28" borderId="120" xfId="0" applyNumberFormat="1" applyFont="1" applyFill="1" applyBorder="1" applyAlignment="1">
      <alignment horizontal="right"/>
    </xf>
    <xf numFmtId="167" fontId="8" fillId="28" borderId="71" xfId="0" applyNumberFormat="1" applyFont="1" applyFill="1" applyBorder="1" applyAlignment="1">
      <alignment horizontal="right"/>
    </xf>
    <xf numFmtId="0" fontId="8" fillId="28" borderId="121" xfId="0" applyFont="1" applyFill="1" applyBorder="1" applyAlignment="1">
      <alignment horizontal="right"/>
    </xf>
    <xf numFmtId="0" fontId="8" fillId="28" borderId="1" xfId="0" applyFont="1" applyFill="1" applyBorder="1" applyAlignment="1">
      <alignment horizontal="center"/>
    </xf>
    <xf numFmtId="167" fontId="8" fillId="28" borderId="1" xfId="0" applyNumberFormat="1" applyFont="1" applyFill="1" applyBorder="1" applyAlignment="1">
      <alignment horizontal="center"/>
    </xf>
    <xf numFmtId="0" fontId="8" fillId="28" borderId="55" xfId="0" applyFont="1" applyFill="1" applyBorder="1" applyAlignment="1">
      <alignment horizontal="right"/>
    </xf>
    <xf numFmtId="9" fontId="8" fillId="28" borderId="1" xfId="0" applyNumberFormat="1" applyFont="1" applyFill="1" applyBorder="1" applyAlignment="1">
      <alignment horizontal="right"/>
    </xf>
    <xf numFmtId="167" fontId="8" fillId="28" borderId="57" xfId="0" applyNumberFormat="1" applyFont="1" applyFill="1" applyBorder="1" applyAlignment="1">
      <alignment horizontal="center"/>
    </xf>
    <xf numFmtId="167" fontId="8" fillId="28" borderId="113" xfId="0" applyNumberFormat="1" applyFont="1" applyFill="1" applyBorder="1" applyAlignment="1">
      <alignment horizontal="right"/>
    </xf>
    <xf numFmtId="167" fontId="8" fillId="28" borderId="121" xfId="0" applyNumberFormat="1" applyFont="1" applyFill="1" applyBorder="1" applyAlignment="1">
      <alignment horizontal="right"/>
    </xf>
    <xf numFmtId="167" fontId="8" fillId="28" borderId="77" xfId="0" applyNumberFormat="1" applyFont="1" applyFill="1" applyBorder="1" applyAlignment="1">
      <alignment horizontal="right"/>
    </xf>
    <xf numFmtId="9" fontId="9" fillId="31" borderId="193" xfId="0" applyNumberFormat="1" applyFont="1" applyFill="1" applyBorder="1" applyProtection="1"/>
    <xf numFmtId="9" fontId="9" fillId="31" borderId="194" xfId="0" applyNumberFormat="1" applyFont="1" applyFill="1" applyBorder="1" applyProtection="1"/>
    <xf numFmtId="9" fontId="9" fillId="31" borderId="195" xfId="0" applyNumberFormat="1" applyFont="1" applyFill="1" applyBorder="1" applyProtection="1"/>
    <xf numFmtId="0" fontId="8" fillId="28" borderId="115" xfId="0" applyFont="1" applyFill="1" applyBorder="1" applyAlignment="1">
      <alignment horizontal="right"/>
    </xf>
    <xf numFmtId="1" fontId="8" fillId="28" borderId="120" xfId="0" applyNumberFormat="1" applyFont="1" applyFill="1" applyBorder="1" applyAlignment="1">
      <alignment horizontal="center"/>
    </xf>
    <xf numFmtId="0" fontId="8" fillId="6" borderId="120" xfId="0" applyFont="1" applyFill="1" applyBorder="1" applyAlignment="1">
      <alignment horizontal="right"/>
    </xf>
    <xf numFmtId="1" fontId="8" fillId="6" borderId="120" xfId="0" applyNumberFormat="1" applyFont="1" applyFill="1" applyBorder="1" applyAlignment="1">
      <alignment horizontal="center"/>
    </xf>
    <xf numFmtId="0" fontId="8" fillId="28" borderId="131" xfId="0" applyFont="1" applyFill="1" applyBorder="1" applyAlignment="1">
      <alignment horizontal="right"/>
    </xf>
    <xf numFmtId="0" fontId="8" fillId="28" borderId="185" xfId="0" applyFont="1" applyFill="1" applyBorder="1" applyAlignment="1">
      <alignment horizontal="right"/>
    </xf>
    <xf numFmtId="167" fontId="8" fillId="28" borderId="179" xfId="0" applyNumberFormat="1" applyFont="1" applyFill="1" applyBorder="1" applyAlignment="1">
      <alignment horizontal="right"/>
    </xf>
    <xf numFmtId="167" fontId="8" fillId="28" borderId="221" xfId="0" applyNumberFormat="1" applyFont="1" applyFill="1" applyBorder="1" applyAlignment="1">
      <alignment horizontal="right"/>
    </xf>
    <xf numFmtId="0" fontId="8" fillId="28" borderId="115" xfId="0" applyFont="1" applyFill="1" applyBorder="1" applyAlignment="1">
      <alignment horizontal="center"/>
    </xf>
    <xf numFmtId="0" fontId="8" fillId="32" borderId="183" xfId="0" applyFont="1" applyFill="1" applyBorder="1" applyProtection="1"/>
    <xf numFmtId="0" fontId="8" fillId="7" borderId="120" xfId="0" applyFont="1" applyFill="1" applyBorder="1" applyAlignment="1">
      <alignment horizontal="left"/>
    </xf>
    <xf numFmtId="0" fontId="0" fillId="0" borderId="0" xfId="0" applyFont="1" applyAlignment="1"/>
    <xf numFmtId="0" fontId="1" fillId="20" borderId="183" xfId="1" applyBorder="1" applyProtection="1">
      <protection locked="0"/>
    </xf>
    <xf numFmtId="0" fontId="44" fillId="7" borderId="5" xfId="3" applyFont="1" applyFill="1" applyBorder="1" applyAlignment="1">
      <alignment horizontal="left"/>
    </xf>
    <xf numFmtId="0" fontId="14" fillId="0" borderId="5" xfId="0" applyFont="1" applyFill="1" applyBorder="1"/>
    <xf numFmtId="0" fontId="8" fillId="0" borderId="120" xfId="0" applyFont="1" applyFill="1" applyBorder="1"/>
    <xf numFmtId="3" fontId="8" fillId="10" borderId="120" xfId="0" applyNumberFormat="1" applyFont="1" applyFill="1" applyBorder="1"/>
    <xf numFmtId="3" fontId="8" fillId="10" borderId="113" xfId="0" applyNumberFormat="1" applyFont="1" applyFill="1" applyBorder="1"/>
    <xf numFmtId="3" fontId="8" fillId="10" borderId="121" xfId="0" applyNumberFormat="1" applyFont="1" applyFill="1" applyBorder="1"/>
    <xf numFmtId="0" fontId="8" fillId="10" borderId="120" xfId="0" applyFont="1" applyFill="1" applyBorder="1" applyAlignment="1">
      <alignment horizontal="center"/>
    </xf>
    <xf numFmtId="3" fontId="14" fillId="10" borderId="120" xfId="0" applyNumberFormat="1" applyFont="1" applyFill="1" applyBorder="1"/>
    <xf numFmtId="0" fontId="8" fillId="3" borderId="200" xfId="0" applyFont="1" applyFill="1" applyBorder="1"/>
    <xf numFmtId="3" fontId="8" fillId="10" borderId="227" xfId="0" applyNumberFormat="1" applyFont="1" applyFill="1" applyBorder="1"/>
    <xf numFmtId="0" fontId="8" fillId="7" borderId="237" xfId="0" applyFont="1" applyFill="1" applyBorder="1" applyAlignment="1">
      <alignment horizontal="right"/>
    </xf>
    <xf numFmtId="0" fontId="8" fillId="11" borderId="150" xfId="0" applyFont="1" applyFill="1" applyBorder="1" applyProtection="1">
      <protection locked="0"/>
    </xf>
    <xf numFmtId="0" fontId="8" fillId="11" borderId="240" xfId="0" applyFont="1" applyFill="1" applyBorder="1" applyProtection="1">
      <protection locked="0"/>
    </xf>
    <xf numFmtId="0" fontId="8" fillId="7" borderId="239" xfId="0" applyFont="1" applyFill="1" applyBorder="1"/>
    <xf numFmtId="0" fontId="0" fillId="35" borderId="5" xfId="0" applyFont="1" applyFill="1" applyBorder="1"/>
    <xf numFmtId="0" fontId="0" fillId="36" borderId="5" xfId="0" applyFont="1" applyFill="1" applyBorder="1"/>
    <xf numFmtId="0" fontId="8" fillId="7" borderId="70" xfId="0" applyFont="1" applyFill="1" applyBorder="1" applyAlignment="1">
      <alignment horizontal="right"/>
    </xf>
    <xf numFmtId="0" fontId="3" fillId="33" borderId="243" xfId="0" applyFont="1" applyFill="1" applyBorder="1" applyProtection="1">
      <protection locked="0"/>
    </xf>
    <xf numFmtId="0" fontId="8" fillId="34" borderId="244" xfId="0" applyFont="1" applyFill="1" applyBorder="1" applyProtection="1">
      <protection locked="0"/>
    </xf>
    <xf numFmtId="0" fontId="8" fillId="7" borderId="245" xfId="0" applyFont="1" applyFill="1" applyBorder="1" applyAlignment="1">
      <alignment horizontal="right"/>
    </xf>
    <xf numFmtId="0" fontId="8" fillId="7" borderId="246" xfId="0" applyFont="1" applyFill="1" applyBorder="1"/>
    <xf numFmtId="0" fontId="8" fillId="7" borderId="238" xfId="0" applyFont="1" applyFill="1" applyBorder="1" applyAlignment="1">
      <alignment horizontal="right"/>
    </xf>
    <xf numFmtId="0" fontId="8" fillId="8" borderId="249" xfId="0" applyFont="1" applyFill="1" applyBorder="1" applyProtection="1">
      <protection locked="0"/>
    </xf>
    <xf numFmtId="0" fontId="8" fillId="8" borderId="51" xfId="0" applyFont="1" applyFill="1" applyBorder="1" applyAlignment="1" applyProtection="1">
      <alignment horizontal="right"/>
      <protection locked="0"/>
    </xf>
    <xf numFmtId="164" fontId="8" fillId="8" borderId="183" xfId="0" applyNumberFormat="1" applyFont="1" applyFill="1" applyBorder="1" applyAlignment="1" applyProtection="1">
      <alignment horizontal="right"/>
      <protection locked="0"/>
    </xf>
    <xf numFmtId="0" fontId="9" fillId="4" borderId="256" xfId="0" applyFont="1" applyFill="1" applyBorder="1" applyAlignment="1">
      <alignment horizontal="left"/>
    </xf>
    <xf numFmtId="0" fontId="9" fillId="4" borderId="161" xfId="0" applyFont="1" applyFill="1" applyBorder="1" applyAlignment="1">
      <alignment horizontal="left"/>
    </xf>
    <xf numFmtId="0" fontId="0" fillId="0" borderId="257" xfId="0" applyFont="1" applyBorder="1" applyAlignment="1"/>
    <xf numFmtId="0" fontId="8" fillId="21" borderId="161" xfId="0" applyFont="1" applyFill="1" applyBorder="1" applyAlignment="1">
      <alignment vertical="top" wrapText="1"/>
    </xf>
    <xf numFmtId="0" fontId="14" fillId="3" borderId="167" xfId="0" applyFont="1" applyFill="1" applyBorder="1"/>
    <xf numFmtId="0" fontId="14" fillId="3" borderId="254" xfId="0" applyFont="1" applyFill="1" applyBorder="1"/>
    <xf numFmtId="0" fontId="8" fillId="5" borderId="183" xfId="0" applyFont="1" applyFill="1" applyBorder="1" applyAlignment="1">
      <alignment vertical="top" wrapText="1"/>
    </xf>
    <xf numFmtId="0" fontId="4" fillId="3" borderId="14" xfId="0" applyFont="1" applyFill="1" applyBorder="1"/>
    <xf numFmtId="0" fontId="4" fillId="3" borderId="20" xfId="0" applyFont="1" applyFill="1" applyBorder="1"/>
    <xf numFmtId="0" fontId="4" fillId="0" borderId="160" xfId="0" applyFont="1" applyFill="1" applyBorder="1"/>
    <xf numFmtId="0" fontId="0" fillId="0" borderId="120" xfId="0" applyFont="1" applyBorder="1"/>
    <xf numFmtId="0" fontId="4" fillId="0" borderId="258" xfId="0" applyFont="1" applyFill="1" applyBorder="1"/>
    <xf numFmtId="0" fontId="8" fillId="0" borderId="258" xfId="0" applyFont="1" applyFill="1" applyBorder="1"/>
    <xf numFmtId="0" fontId="4" fillId="0" borderId="259" xfId="0" applyFont="1" applyFill="1" applyBorder="1"/>
    <xf numFmtId="0" fontId="8" fillId="0" borderId="259" xfId="0" applyFont="1" applyFill="1" applyBorder="1"/>
    <xf numFmtId="0" fontId="46" fillId="38" borderId="260" xfId="0" applyFont="1" applyFill="1" applyBorder="1"/>
    <xf numFmtId="0" fontId="4" fillId="38" borderId="261" xfId="0" applyFont="1" applyFill="1" applyBorder="1"/>
    <xf numFmtId="0" fontId="4" fillId="38" borderId="262" xfId="0" applyFont="1" applyFill="1" applyBorder="1"/>
    <xf numFmtId="0" fontId="8" fillId="7" borderId="264" xfId="0" applyFont="1" applyFill="1" applyBorder="1"/>
    <xf numFmtId="0" fontId="4" fillId="39" borderId="265" xfId="0" applyFont="1" applyFill="1" applyBorder="1"/>
    <xf numFmtId="0" fontId="4" fillId="39" borderId="266" xfId="0" applyFont="1" applyFill="1" applyBorder="1"/>
    <xf numFmtId="2" fontId="9" fillId="41" borderId="264" xfId="0" applyNumberFormat="1" applyFont="1" applyFill="1" applyBorder="1" applyAlignment="1">
      <alignment horizontal="left"/>
    </xf>
    <xf numFmtId="0" fontId="9" fillId="0" borderId="258" xfId="0" applyFont="1" applyFill="1" applyBorder="1"/>
    <xf numFmtId="0" fontId="47" fillId="6" borderId="120" xfId="3" applyFont="1" applyFill="1" applyBorder="1"/>
    <xf numFmtId="0" fontId="8" fillId="0" borderId="268" xfId="0" applyFont="1" applyFill="1" applyBorder="1"/>
    <xf numFmtId="0" fontId="0" fillId="0" borderId="269" xfId="0" applyFont="1" applyBorder="1" applyAlignment="1"/>
    <xf numFmtId="0" fontId="47" fillId="6" borderId="5" xfId="3" applyFont="1" applyFill="1" applyBorder="1"/>
    <xf numFmtId="0" fontId="0" fillId="0" borderId="0" xfId="0" applyFont="1" applyAlignment="1"/>
    <xf numFmtId="0" fontId="9" fillId="3" borderId="216" xfId="0" applyFont="1" applyFill="1" applyBorder="1" applyAlignment="1">
      <alignment horizontal="left"/>
    </xf>
    <xf numFmtId="0" fontId="9" fillId="3" borderId="217" xfId="0" applyFont="1" applyFill="1" applyBorder="1" applyAlignment="1">
      <alignment horizontal="left"/>
    </xf>
    <xf numFmtId="3" fontId="8" fillId="7" borderId="22" xfId="0" applyNumberFormat="1" applyFont="1" applyFill="1" applyBorder="1" applyAlignment="1" applyProtection="1">
      <alignment horizontal="center"/>
    </xf>
    <xf numFmtId="3" fontId="9" fillId="7" borderId="22" xfId="0" applyNumberFormat="1" applyFont="1" applyFill="1" applyBorder="1" applyProtection="1"/>
    <xf numFmtId="0" fontId="8" fillId="8" borderId="183" xfId="0" applyFont="1" applyFill="1" applyBorder="1" applyProtection="1">
      <protection locked="0"/>
    </xf>
    <xf numFmtId="0" fontId="8" fillId="6" borderId="120" xfId="0" applyFont="1" applyFill="1" applyBorder="1" applyAlignment="1">
      <alignment vertical="top" wrapText="1"/>
    </xf>
    <xf numFmtId="9" fontId="8" fillId="7" borderId="32" xfId="5" applyFont="1" applyFill="1" applyBorder="1" applyAlignment="1">
      <alignment horizontal="center"/>
    </xf>
    <xf numFmtId="0" fontId="9" fillId="3" borderId="160" xfId="0" applyFont="1" applyFill="1" applyBorder="1"/>
    <xf numFmtId="0" fontId="4" fillId="3" borderId="288" xfId="0" applyFont="1" applyFill="1" applyBorder="1"/>
    <xf numFmtId="0" fontId="4" fillId="3" borderId="164" xfId="0" applyFont="1" applyFill="1" applyBorder="1"/>
    <xf numFmtId="0" fontId="4" fillId="0" borderId="289" xfId="0" applyFont="1" applyFill="1" applyBorder="1" applyAlignment="1">
      <alignment vertical="top"/>
    </xf>
    <xf numFmtId="0" fontId="4" fillId="0" borderId="289" xfId="0" applyFont="1" applyFill="1" applyBorder="1"/>
    <xf numFmtId="0" fontId="4" fillId="40" borderId="263" xfId="0" applyFont="1" applyFill="1" applyBorder="1" applyProtection="1">
      <protection locked="0"/>
    </xf>
    <xf numFmtId="0" fontId="8" fillId="8" borderId="290" xfId="0" applyFont="1" applyFill="1" applyBorder="1" applyProtection="1">
      <protection locked="0"/>
    </xf>
    <xf numFmtId="0" fontId="8" fillId="42" borderId="291" xfId="0" applyFont="1" applyFill="1" applyBorder="1" applyProtection="1">
      <protection locked="0"/>
    </xf>
    <xf numFmtId="0" fontId="3" fillId="3" borderId="6" xfId="0" quotePrefix="1" applyFont="1" applyFill="1" applyBorder="1"/>
    <xf numFmtId="0" fontId="0" fillId="0" borderId="0" xfId="0" applyFont="1" applyAlignment="1"/>
    <xf numFmtId="0" fontId="8" fillId="0" borderId="0" xfId="0" applyFont="1" applyFill="1"/>
    <xf numFmtId="0" fontId="21" fillId="3" borderId="120" xfId="0" applyFont="1" applyFill="1" applyBorder="1"/>
    <xf numFmtId="44" fontId="8" fillId="7" borderId="22" xfId="2" applyFont="1" applyFill="1" applyBorder="1" applyAlignment="1"/>
    <xf numFmtId="3" fontId="8" fillId="32" borderId="120" xfId="0" applyNumberFormat="1" applyFont="1" applyFill="1" applyBorder="1" applyProtection="1"/>
    <xf numFmtId="0" fontId="55" fillId="6" borderId="5" xfId="3" applyFont="1" applyFill="1" applyBorder="1"/>
    <xf numFmtId="164" fontId="8" fillId="8" borderId="290" xfId="0" applyNumberFormat="1" applyFont="1" applyFill="1" applyBorder="1" applyProtection="1">
      <protection locked="0"/>
    </xf>
    <xf numFmtId="9" fontId="8" fillId="7" borderId="293" xfId="0" applyNumberFormat="1" applyFont="1" applyFill="1" applyBorder="1" applyAlignment="1">
      <alignment horizontal="center"/>
    </xf>
    <xf numFmtId="9" fontId="8" fillId="7" borderId="120" xfId="5" applyFont="1" applyFill="1" applyBorder="1"/>
    <xf numFmtId="0" fontId="8" fillId="7" borderId="121" xfId="0" applyFont="1" applyFill="1" applyBorder="1"/>
    <xf numFmtId="9" fontId="8" fillId="7" borderId="294" xfId="5" applyFont="1" applyFill="1" applyBorder="1"/>
    <xf numFmtId="0" fontId="8" fillId="44" borderId="120" xfId="0" applyFont="1" applyFill="1" applyBorder="1"/>
    <xf numFmtId="0" fontId="0" fillId="44" borderId="120" xfId="0" applyFont="1" applyFill="1" applyBorder="1"/>
    <xf numFmtId="0" fontId="0" fillId="45" borderId="120" xfId="0" applyFont="1" applyFill="1" applyBorder="1"/>
    <xf numFmtId="164" fontId="0" fillId="46" borderId="120" xfId="0" applyNumberFormat="1" applyFont="1" applyFill="1" applyBorder="1" applyProtection="1">
      <protection locked="0"/>
    </xf>
    <xf numFmtId="168" fontId="8" fillId="47" borderId="120" xfId="0" applyNumberFormat="1" applyFont="1" applyFill="1" applyBorder="1" applyProtection="1">
      <protection locked="0"/>
    </xf>
    <xf numFmtId="0" fontId="0" fillId="44" borderId="120" xfId="0" applyFill="1" applyBorder="1"/>
    <xf numFmtId="0" fontId="56" fillId="43" borderId="291" xfId="6" applyFont="1" applyBorder="1" applyAlignment="1" applyProtection="1">
      <alignment horizontal="right"/>
      <protection locked="0"/>
    </xf>
    <xf numFmtId="165" fontId="14" fillId="42" borderId="292" xfId="0" applyNumberFormat="1" applyFont="1" applyFill="1" applyBorder="1" applyProtection="1">
      <protection locked="0"/>
    </xf>
    <xf numFmtId="0" fontId="0" fillId="48" borderId="5" xfId="0" applyFont="1" applyFill="1" applyBorder="1"/>
    <xf numFmtId="0" fontId="15" fillId="26" borderId="30" xfId="0" applyFont="1" applyFill="1" applyBorder="1" applyAlignment="1">
      <alignment horizontal="center" vertical="center"/>
    </xf>
    <xf numFmtId="0" fontId="3" fillId="25" borderId="25" xfId="0" applyFont="1" applyFill="1" applyBorder="1"/>
    <xf numFmtId="0" fontId="3" fillId="25" borderId="131" xfId="0" applyFont="1" applyFill="1" applyBorder="1"/>
    <xf numFmtId="0" fontId="3" fillId="25" borderId="26" xfId="0" applyFont="1" applyFill="1" applyBorder="1"/>
    <xf numFmtId="0" fontId="3" fillId="25" borderId="39" xfId="0" applyFont="1" applyFill="1" applyBorder="1"/>
    <xf numFmtId="0" fontId="0" fillId="25" borderId="0" xfId="0" applyFont="1" applyFill="1" applyAlignment="1"/>
    <xf numFmtId="0" fontId="3" fillId="25" borderId="34" xfId="0" applyFont="1" applyFill="1" applyBorder="1"/>
    <xf numFmtId="0" fontId="3" fillId="25" borderId="120" xfId="0" applyFont="1" applyFill="1" applyBorder="1"/>
    <xf numFmtId="0" fontId="3" fillId="25" borderId="71" xfId="0" applyFont="1" applyFill="1" applyBorder="1"/>
    <xf numFmtId="0" fontId="14" fillId="27" borderId="235" xfId="0" applyFont="1" applyFill="1" applyBorder="1" applyAlignment="1">
      <alignment horizontal="center" vertical="center" wrapText="1"/>
    </xf>
    <xf numFmtId="0" fontId="3" fillId="25" borderId="236" xfId="0" applyFont="1" applyFill="1" applyBorder="1"/>
    <xf numFmtId="0" fontId="3" fillId="25" borderId="208" xfId="0" applyFont="1" applyFill="1" applyBorder="1"/>
    <xf numFmtId="0" fontId="11" fillId="2" borderId="185" xfId="0" applyFont="1" applyFill="1" applyBorder="1" applyAlignment="1">
      <alignment horizontal="left" vertical="center"/>
    </xf>
    <xf numFmtId="0" fontId="11" fillId="2" borderId="179" xfId="0" applyFont="1" applyFill="1" applyBorder="1" applyAlignment="1">
      <alignment horizontal="left" vertical="center"/>
    </xf>
    <xf numFmtId="0" fontId="14" fillId="27" borderId="61" xfId="0" applyFont="1" applyFill="1" applyBorder="1" applyAlignment="1">
      <alignment horizontal="center" vertical="center"/>
    </xf>
    <xf numFmtId="0" fontId="3" fillId="25" borderId="67" xfId="0" applyFont="1" applyFill="1" applyBorder="1"/>
    <xf numFmtId="0" fontId="3" fillId="25" borderId="73" xfId="0" applyFont="1" applyFill="1" applyBorder="1"/>
    <xf numFmtId="0" fontId="14" fillId="27" borderId="62" xfId="0" applyFont="1" applyFill="1" applyBorder="1" applyAlignment="1">
      <alignment horizontal="center" vertical="center"/>
    </xf>
    <xf numFmtId="0" fontId="3" fillId="25" borderId="68" xfId="0" applyFont="1" applyFill="1" applyBorder="1"/>
    <xf numFmtId="0" fontId="3" fillId="25" borderId="74" xfId="0" applyFont="1" applyFill="1" applyBorder="1"/>
    <xf numFmtId="0" fontId="14" fillId="27" borderId="64" xfId="0" applyFont="1" applyFill="1" applyBorder="1" applyAlignment="1">
      <alignment horizontal="center" vertical="center" wrapText="1"/>
    </xf>
    <xf numFmtId="0" fontId="3" fillId="25" borderId="70" xfId="0" applyFont="1" applyFill="1" applyBorder="1"/>
    <xf numFmtId="0" fontId="3" fillId="25" borderId="76" xfId="0" applyFont="1" applyFill="1" applyBorder="1"/>
    <xf numFmtId="0" fontId="14" fillId="27" borderId="196" xfId="0" applyFont="1" applyFill="1" applyBorder="1" applyAlignment="1">
      <alignment horizontal="center" vertical="center" wrapText="1"/>
    </xf>
    <xf numFmtId="0" fontId="3" fillId="25" borderId="199" xfId="0" applyFont="1" applyFill="1" applyBorder="1"/>
    <xf numFmtId="0" fontId="3" fillId="25" borderId="186" xfId="0" applyFont="1" applyFill="1" applyBorder="1"/>
    <xf numFmtId="0" fontId="14" fillId="27" borderId="233" xfId="0" applyFont="1" applyFill="1" applyBorder="1" applyAlignment="1">
      <alignment horizontal="center" vertical="center" wrapText="1"/>
    </xf>
    <xf numFmtId="0" fontId="3" fillId="25" borderId="234" xfId="0" applyFont="1" applyFill="1" applyBorder="1"/>
    <xf numFmtId="0" fontId="14" fillId="27" borderId="61" xfId="0" applyFont="1" applyFill="1" applyBorder="1" applyAlignment="1">
      <alignment horizontal="center" vertical="center" wrapText="1"/>
    </xf>
    <xf numFmtId="2" fontId="9" fillId="10" borderId="81" xfId="0" applyNumberFormat="1" applyFont="1" applyFill="1" applyBorder="1" applyAlignment="1">
      <alignment horizontal="center"/>
    </xf>
    <xf numFmtId="2" fontId="9" fillId="10" borderId="82" xfId="0" applyNumberFormat="1" applyFont="1" applyFill="1" applyBorder="1" applyAlignment="1">
      <alignment horizontal="center"/>
    </xf>
    <xf numFmtId="0" fontId="16" fillId="2" borderId="27" xfId="0" applyFont="1" applyFill="1" applyBorder="1"/>
    <xf numFmtId="0" fontId="16" fillId="2" borderId="131" xfId="0" applyFont="1" applyFill="1" applyBorder="1"/>
    <xf numFmtId="0" fontId="3" fillId="0" borderId="28" xfId="0" applyFont="1" applyBorder="1"/>
    <xf numFmtId="0" fontId="3" fillId="0" borderId="29" xfId="0" applyFont="1" applyBorder="1"/>
    <xf numFmtId="0" fontId="14" fillId="27" borderId="23" xfId="0" applyFont="1" applyFill="1" applyBorder="1" applyAlignment="1">
      <alignment horizontal="center" vertical="center" wrapText="1"/>
    </xf>
    <xf numFmtId="0" fontId="14" fillId="27" borderId="66" xfId="0" applyFont="1" applyFill="1" applyBorder="1" applyAlignment="1">
      <alignment horizontal="center" vertical="center" wrapText="1"/>
    </xf>
    <xf numFmtId="164" fontId="8" fillId="7" borderId="102" xfId="0" applyNumberFormat="1" applyFont="1" applyFill="1" applyBorder="1" applyAlignment="1">
      <alignment horizontal="center" vertical="center" wrapText="1"/>
    </xf>
    <xf numFmtId="164" fontId="8" fillId="7" borderId="134" xfId="0" applyNumberFormat="1" applyFont="1" applyFill="1" applyBorder="1" applyAlignment="1">
      <alignment horizontal="center" vertical="center" wrapText="1"/>
    </xf>
    <xf numFmtId="164" fontId="8" fillId="7" borderId="103" xfId="0" applyNumberFormat="1" applyFont="1" applyFill="1" applyBorder="1" applyAlignment="1">
      <alignment horizontal="center" vertical="center" wrapText="1"/>
    </xf>
    <xf numFmtId="164" fontId="8" fillId="7" borderId="120" xfId="0" applyNumberFormat="1" applyFont="1" applyFill="1" applyBorder="1" applyAlignment="1">
      <alignment horizontal="center" vertical="center" wrapText="1"/>
    </xf>
    <xf numFmtId="164" fontId="8" fillId="7" borderId="108" xfId="0" applyNumberFormat="1" applyFont="1" applyFill="1" applyBorder="1" applyAlignment="1">
      <alignment horizontal="center" vertical="center" wrapText="1"/>
    </xf>
    <xf numFmtId="164" fontId="8" fillId="7" borderId="135" xfId="0" applyNumberFormat="1" applyFont="1" applyFill="1" applyBorder="1" applyAlignment="1">
      <alignment horizontal="center" vertical="center" wrapText="1"/>
    </xf>
    <xf numFmtId="166" fontId="8" fillId="7" borderId="134" xfId="0" applyNumberFormat="1" applyFont="1" applyFill="1" applyBorder="1" applyAlignment="1">
      <alignment horizontal="left"/>
    </xf>
    <xf numFmtId="166" fontId="8" fillId="7" borderId="133" xfId="0" applyNumberFormat="1" applyFont="1" applyFill="1" applyBorder="1" applyAlignment="1">
      <alignment horizontal="left"/>
    </xf>
    <xf numFmtId="0" fontId="9" fillId="3" borderId="276" xfId="0" applyFont="1" applyFill="1" applyBorder="1" applyAlignment="1">
      <alignment horizontal="left" wrapText="1"/>
    </xf>
    <xf numFmtId="0" fontId="9" fillId="3" borderId="277" xfId="0" applyFont="1" applyFill="1" applyBorder="1" applyAlignment="1">
      <alignment horizontal="left" wrapText="1"/>
    </xf>
    <xf numFmtId="0" fontId="9" fillId="3" borderId="278" xfId="0" applyFont="1" applyFill="1" applyBorder="1" applyAlignment="1">
      <alignment horizontal="left" wrapText="1"/>
    </xf>
    <xf numFmtId="0" fontId="9" fillId="3" borderId="279" xfId="0" applyFont="1" applyFill="1" applyBorder="1" applyAlignment="1">
      <alignment horizontal="left" wrapText="1"/>
    </xf>
    <xf numFmtId="0" fontId="9" fillId="3" borderId="274" xfId="0" applyFont="1" applyFill="1" applyBorder="1" applyAlignment="1">
      <alignment horizontal="left" wrapText="1"/>
    </xf>
    <xf numFmtId="0" fontId="9" fillId="3" borderId="275" xfId="0" applyFont="1" applyFill="1" applyBorder="1" applyAlignment="1">
      <alignment horizontal="left" wrapText="1"/>
    </xf>
    <xf numFmtId="0" fontId="8" fillId="4" borderId="203" xfId="0" applyFont="1" applyFill="1" applyBorder="1" applyAlignment="1">
      <alignment horizontal="center" vertical="top" wrapText="1"/>
    </xf>
    <xf numFmtId="0" fontId="8" fillId="4" borderId="220" xfId="0" applyFont="1" applyFill="1" applyBorder="1" applyAlignment="1">
      <alignment horizontal="center" vertical="top" wrapText="1"/>
    </xf>
    <xf numFmtId="0" fontId="8" fillId="4" borderId="176" xfId="0" applyFont="1" applyFill="1" applyBorder="1" applyAlignment="1">
      <alignment horizontal="center" vertical="top" wrapText="1"/>
    </xf>
    <xf numFmtId="0" fontId="8" fillId="4" borderId="162" xfId="0" applyFont="1" applyFill="1" applyBorder="1" applyAlignment="1">
      <alignment horizontal="center" vertical="top" wrapText="1"/>
    </xf>
    <xf numFmtId="0" fontId="8" fillId="4" borderId="14" xfId="0" applyFont="1" applyFill="1" applyBorder="1" applyAlignment="1">
      <alignment horizontal="center" vertical="top" wrapText="1"/>
    </xf>
    <xf numFmtId="0" fontId="8" fillId="4" borderId="255" xfId="0" applyFont="1" applyFill="1" applyBorder="1" applyAlignment="1">
      <alignment horizontal="center" vertical="top" wrapText="1"/>
    </xf>
    <xf numFmtId="0" fontId="14" fillId="27" borderId="60" xfId="0" applyFont="1" applyFill="1" applyBorder="1" applyAlignment="1">
      <alignment horizontal="center" vertical="center" wrapText="1"/>
    </xf>
    <xf numFmtId="0" fontId="3" fillId="25" borderId="65" xfId="0" applyFont="1" applyFill="1" applyBorder="1"/>
    <xf numFmtId="0" fontId="3" fillId="25" borderId="72" xfId="0" applyFont="1" applyFill="1" applyBorder="1"/>
    <xf numFmtId="0" fontId="3" fillId="25" borderId="66" xfId="0" applyFont="1" applyFill="1" applyBorder="1"/>
    <xf numFmtId="0" fontId="14" fillId="27" borderId="63" xfId="0" applyFont="1" applyFill="1" applyBorder="1" applyAlignment="1">
      <alignment horizontal="center" vertical="center" wrapText="1"/>
    </xf>
    <xf numFmtId="0" fontId="3" fillId="25" borderId="69" xfId="0" applyFont="1" applyFill="1" applyBorder="1"/>
    <xf numFmtId="0" fontId="3" fillId="25" borderId="75" xfId="0" applyFont="1" applyFill="1" applyBorder="1"/>
    <xf numFmtId="0" fontId="15" fillId="26" borderId="24" xfId="0" applyFont="1" applyFill="1" applyBorder="1" applyAlignment="1">
      <alignment horizontal="center" vertical="center"/>
    </xf>
    <xf numFmtId="0" fontId="3" fillId="25" borderId="33" xfId="0" applyFont="1" applyFill="1" applyBorder="1"/>
    <xf numFmtId="0" fontId="3" fillId="25" borderId="53" xfId="0" applyFont="1" applyFill="1" applyBorder="1"/>
    <xf numFmtId="0" fontId="3" fillId="25" borderId="12" xfId="0" applyFont="1" applyFill="1" applyBorder="1"/>
    <xf numFmtId="0" fontId="3" fillId="25" borderId="54" xfId="0" applyFont="1" applyFill="1" applyBorder="1"/>
    <xf numFmtId="0" fontId="14" fillId="27" borderId="60" xfId="0" applyFont="1" applyFill="1" applyBorder="1" applyAlignment="1">
      <alignment horizontal="center" vertical="center"/>
    </xf>
    <xf numFmtId="0" fontId="15" fillId="26" borderId="27" xfId="0" applyFont="1" applyFill="1" applyBorder="1" applyAlignment="1">
      <alignment horizontal="center" vertical="center"/>
    </xf>
    <xf numFmtId="0" fontId="3" fillId="25" borderId="28" xfId="0" applyFont="1" applyFill="1" applyBorder="1"/>
    <xf numFmtId="0" fontId="3" fillId="25" borderId="29" xfId="0" applyFont="1" applyFill="1" applyBorder="1"/>
    <xf numFmtId="0" fontId="9" fillId="26" borderId="36" xfId="0" applyFont="1" applyFill="1" applyBorder="1" applyAlignment="1">
      <alignment horizontal="center" vertical="center" wrapText="1"/>
    </xf>
    <xf numFmtId="0" fontId="3" fillId="25" borderId="37" xfId="0" applyFont="1" applyFill="1" applyBorder="1"/>
    <xf numFmtId="0" fontId="3" fillId="25" borderId="38" xfId="0" applyFont="1" applyFill="1" applyBorder="1"/>
    <xf numFmtId="0" fontId="3" fillId="25" borderId="43" xfId="0" applyFont="1" applyFill="1" applyBorder="1"/>
    <xf numFmtId="0" fontId="3" fillId="25" borderId="44" xfId="0" applyFont="1" applyFill="1" applyBorder="1"/>
    <xf numFmtId="0" fontId="3" fillId="25" borderId="45" xfId="0" applyFont="1" applyFill="1" applyBorder="1"/>
    <xf numFmtId="0" fontId="14" fillId="27" borderId="84" xfId="0" applyFont="1" applyFill="1" applyBorder="1" applyAlignment="1">
      <alignment horizontal="center" vertical="center" wrapText="1"/>
    </xf>
    <xf numFmtId="0" fontId="3" fillId="25" borderId="103" xfId="0" applyFont="1" applyFill="1" applyBorder="1"/>
    <xf numFmtId="0" fontId="3" fillId="25" borderId="113" xfId="0" applyFont="1" applyFill="1" applyBorder="1"/>
    <xf numFmtId="0" fontId="14" fillId="27" borderId="224" xfId="0" applyFont="1" applyFill="1" applyBorder="1" applyAlignment="1">
      <alignment horizontal="center" vertical="center" wrapText="1"/>
    </xf>
    <xf numFmtId="0" fontId="14" fillId="27" borderId="71" xfId="0" applyFont="1" applyFill="1" applyBorder="1" applyAlignment="1">
      <alignment horizontal="center" vertical="center" wrapText="1"/>
    </xf>
    <xf numFmtId="0" fontId="14" fillId="27" borderId="77" xfId="0" applyFont="1" applyFill="1" applyBorder="1" applyAlignment="1">
      <alignment horizontal="center" vertical="center" wrapText="1"/>
    </xf>
    <xf numFmtId="0" fontId="2" fillId="2" borderId="2" xfId="0" applyFont="1" applyFill="1" applyBorder="1" applyAlignment="1">
      <alignment horizontal="left" vertical="center"/>
    </xf>
    <xf numFmtId="0" fontId="3" fillId="0" borderId="3" xfId="0" applyFont="1" applyBorder="1"/>
    <xf numFmtId="0" fontId="3" fillId="0" borderId="4" xfId="0" applyFont="1" applyBorder="1"/>
    <xf numFmtId="0" fontId="7" fillId="3" borderId="8" xfId="0" applyFont="1" applyFill="1" applyBorder="1"/>
    <xf numFmtId="0" fontId="3" fillId="0" borderId="10" xfId="0" applyFont="1" applyBorder="1"/>
    <xf numFmtId="0" fontId="3" fillId="0" borderId="11" xfId="0" applyFont="1" applyBorder="1"/>
    <xf numFmtId="0" fontId="2" fillId="2" borderId="121" xfId="0" applyFont="1" applyFill="1" applyBorder="1" applyAlignment="1">
      <alignment horizontal="left" vertical="center"/>
    </xf>
    <xf numFmtId="0" fontId="3" fillId="0" borderId="121" xfId="0" applyFont="1" applyBorder="1"/>
    <xf numFmtId="0" fontId="9" fillId="3" borderId="272" xfId="0" applyFont="1" applyFill="1" applyBorder="1" applyAlignment="1">
      <alignment horizontal="left" wrapText="1"/>
    </xf>
    <xf numFmtId="0" fontId="9" fillId="3" borderId="273" xfId="0" applyFont="1" applyFill="1" applyBorder="1" applyAlignment="1">
      <alignment horizontal="left" wrapText="1"/>
    </xf>
    <xf numFmtId="2" fontId="9" fillId="10" borderId="82" xfId="0" applyNumberFormat="1" applyFont="1" applyFill="1" applyBorder="1" applyAlignment="1">
      <alignment horizontal="left"/>
    </xf>
    <xf numFmtId="2" fontId="9" fillId="10" borderId="267" xfId="0" applyNumberFormat="1" applyFont="1" applyFill="1" applyBorder="1" applyAlignment="1">
      <alignment horizontal="left"/>
    </xf>
    <xf numFmtId="168" fontId="8" fillId="7" borderId="135" xfId="0" applyNumberFormat="1" applyFont="1" applyFill="1" applyBorder="1" applyAlignment="1">
      <alignment horizontal="left"/>
    </xf>
    <xf numFmtId="168" fontId="8" fillId="7" borderId="130" xfId="0" applyNumberFormat="1" applyFont="1" applyFill="1" applyBorder="1" applyAlignment="1">
      <alignment horizontal="left"/>
    </xf>
    <xf numFmtId="0" fontId="9" fillId="37" borderId="163" xfId="0" applyFont="1" applyFill="1" applyBorder="1" applyAlignment="1">
      <alignment horizontal="left" vertical="top" wrapText="1"/>
    </xf>
    <xf numFmtId="0" fontId="9" fillId="37" borderId="232" xfId="0" applyFont="1" applyFill="1" applyBorder="1" applyAlignment="1">
      <alignment horizontal="left" vertical="top" wrapText="1"/>
    </xf>
    <xf numFmtId="0" fontId="9" fillId="37" borderId="164" xfId="0" applyFont="1" applyFill="1" applyBorder="1" applyAlignment="1">
      <alignment horizontal="left" vertical="top" wrapText="1"/>
    </xf>
    <xf numFmtId="0" fontId="9" fillId="37" borderId="176" xfId="0" applyFont="1" applyFill="1" applyBorder="1" applyAlignment="1">
      <alignment horizontal="left" vertical="top" wrapText="1"/>
    </xf>
    <xf numFmtId="0" fontId="9" fillId="37" borderId="120" xfId="0" applyFont="1" applyFill="1" applyBorder="1" applyAlignment="1">
      <alignment horizontal="left" vertical="top" wrapText="1"/>
    </xf>
    <xf numFmtId="0" fontId="9" fillId="37" borderId="162" xfId="0" applyFont="1" applyFill="1" applyBorder="1" applyAlignment="1">
      <alignment horizontal="left" vertical="top" wrapText="1"/>
    </xf>
    <xf numFmtId="0" fontId="9" fillId="37" borderId="14" xfId="0" applyFont="1" applyFill="1" applyBorder="1" applyAlignment="1">
      <alignment horizontal="left" vertical="top" wrapText="1"/>
    </xf>
    <xf numFmtId="0" fontId="9" fillId="37" borderId="271" xfId="0" applyFont="1" applyFill="1" applyBorder="1" applyAlignment="1">
      <alignment horizontal="left" vertical="top" wrapText="1"/>
    </xf>
    <xf numFmtId="0" fontId="9" fillId="37" borderId="255" xfId="0" applyFont="1" applyFill="1" applyBorder="1" applyAlignment="1">
      <alignment horizontal="left" vertical="top" wrapText="1"/>
    </xf>
    <xf numFmtId="0" fontId="9" fillId="37" borderId="283" xfId="0" applyFont="1" applyFill="1" applyBorder="1" applyAlignment="1">
      <alignment horizontal="center" vertical="top" wrapText="1"/>
    </xf>
    <xf numFmtId="0" fontId="9" fillId="37" borderId="284" xfId="0" applyFont="1" applyFill="1" applyBorder="1" applyAlignment="1">
      <alignment horizontal="center" vertical="top" wrapText="1"/>
    </xf>
    <xf numFmtId="0" fontId="9" fillId="37" borderId="285" xfId="0" applyFont="1" applyFill="1" applyBorder="1" applyAlignment="1">
      <alignment horizontal="center" vertical="top" wrapText="1"/>
    </xf>
    <xf numFmtId="0" fontId="9" fillId="37" borderId="286" xfId="0" applyFont="1" applyFill="1" applyBorder="1" applyAlignment="1">
      <alignment horizontal="center" vertical="top" wrapText="1"/>
    </xf>
    <xf numFmtId="0" fontId="9" fillId="37" borderId="120" xfId="0" applyFont="1" applyFill="1" applyBorder="1" applyAlignment="1">
      <alignment horizontal="center" vertical="top" wrapText="1"/>
    </xf>
    <xf numFmtId="0" fontId="9" fillId="37" borderId="287" xfId="0" applyFont="1" applyFill="1" applyBorder="1" applyAlignment="1">
      <alignment horizontal="center" vertical="top" wrapText="1"/>
    </xf>
    <xf numFmtId="0" fontId="7" fillId="23" borderId="198" xfId="0" applyFont="1" applyFill="1" applyBorder="1" applyAlignment="1">
      <alignment horizontal="center" wrapText="1"/>
    </xf>
    <xf numFmtId="0" fontId="3" fillId="22" borderId="200" xfId="0" applyFont="1" applyFill="1" applyBorder="1"/>
    <xf numFmtId="0" fontId="6" fillId="22" borderId="197" xfId="0" applyFont="1" applyFill="1" applyBorder="1" applyAlignment="1">
      <alignment horizontal="center" wrapText="1"/>
    </xf>
    <xf numFmtId="0" fontId="0" fillId="22" borderId="120" xfId="0" applyFont="1" applyFill="1" applyBorder="1" applyAlignment="1"/>
    <xf numFmtId="0" fontId="7" fillId="23" borderId="197" xfId="0" applyFont="1" applyFill="1" applyBorder="1" applyAlignment="1">
      <alignment horizontal="center" wrapText="1"/>
    </xf>
    <xf numFmtId="0" fontId="3" fillId="22" borderId="120" xfId="0" applyFont="1" applyFill="1" applyBorder="1"/>
    <xf numFmtId="0" fontId="6" fillId="22" borderId="198" xfId="0" applyFont="1" applyFill="1" applyBorder="1" applyAlignment="1">
      <alignment horizontal="center"/>
    </xf>
    <xf numFmtId="0" fontId="3" fillId="22" borderId="204" xfId="0" applyFont="1" applyFill="1" applyBorder="1"/>
    <xf numFmtId="0" fontId="7" fillId="23" borderId="196" xfId="0" applyFont="1" applyFill="1" applyBorder="1" applyAlignment="1">
      <alignment horizontal="center" wrapText="1"/>
    </xf>
    <xf numFmtId="0" fontId="3" fillId="22" borderId="199" xfId="0" applyFont="1" applyFill="1" applyBorder="1"/>
    <xf numFmtId="0" fontId="14" fillId="26" borderId="84" xfId="0" applyFont="1" applyFill="1" applyBorder="1" applyAlignment="1">
      <alignment horizontal="center" vertical="center"/>
    </xf>
    <xf numFmtId="0" fontId="14" fillId="26" borderId="131" xfId="0" applyFont="1" applyFill="1" applyBorder="1" applyAlignment="1">
      <alignment horizontal="center" vertical="center"/>
    </xf>
    <xf numFmtId="0" fontId="14" fillId="26" borderId="80" xfId="0" applyFont="1" applyFill="1" applyBorder="1" applyAlignment="1">
      <alignment horizontal="center" vertical="center"/>
    </xf>
    <xf numFmtId="0" fontId="14" fillId="26" borderId="103" xfId="0" applyFont="1" applyFill="1" applyBorder="1" applyAlignment="1">
      <alignment horizontal="center" vertical="center"/>
    </xf>
    <xf numFmtId="0" fontId="14" fillId="26" borderId="120" xfId="0" applyFont="1" applyFill="1" applyBorder="1" applyAlignment="1">
      <alignment horizontal="center" vertical="center"/>
    </xf>
    <xf numFmtId="0" fontId="14" fillId="26" borderId="71" xfId="0" applyFont="1" applyFill="1" applyBorder="1" applyAlignment="1">
      <alignment horizontal="center" vertical="center"/>
    </xf>
    <xf numFmtId="0" fontId="14" fillId="26" borderId="113" xfId="0" applyFont="1" applyFill="1" applyBorder="1" applyAlignment="1">
      <alignment horizontal="center" vertical="center"/>
    </xf>
    <xf numFmtId="0" fontId="14" fillId="26" borderId="121" xfId="0" applyFont="1" applyFill="1" applyBorder="1" applyAlignment="1">
      <alignment horizontal="center" vertical="center"/>
    </xf>
    <xf numFmtId="0" fontId="14" fillId="26" borderId="77" xfId="0" applyFont="1" applyFill="1" applyBorder="1" applyAlignment="1">
      <alignment horizontal="center" vertical="center"/>
    </xf>
    <xf numFmtId="0" fontId="15" fillId="25" borderId="233" xfId="0" applyFont="1" applyFill="1" applyBorder="1" applyAlignment="1">
      <alignment horizontal="center" vertical="center" wrapText="1"/>
    </xf>
    <xf numFmtId="0" fontId="15" fillId="25" borderId="70" xfId="0" applyFont="1" applyFill="1" applyBorder="1" applyAlignment="1">
      <alignment horizontal="center" vertical="center" wrapText="1"/>
    </xf>
    <xf numFmtId="0" fontId="15" fillId="25" borderId="234" xfId="0" applyFont="1" applyFill="1" applyBorder="1" applyAlignment="1">
      <alignment horizontal="center" vertical="center" wrapText="1"/>
    </xf>
    <xf numFmtId="0" fontId="8" fillId="7" borderId="120" xfId="0" applyFont="1" applyFill="1" applyBorder="1" applyAlignment="1">
      <alignment horizontal="left"/>
    </xf>
    <xf numFmtId="0" fontId="8" fillId="7" borderId="154" xfId="0" applyFont="1" applyFill="1" applyBorder="1" applyAlignment="1">
      <alignment horizontal="left"/>
    </xf>
    <xf numFmtId="0" fontId="8" fillId="7" borderId="135" xfId="0" applyFont="1" applyFill="1" applyBorder="1" applyAlignment="1">
      <alignment horizontal="left"/>
    </xf>
    <xf numFmtId="0" fontId="8" fillId="7" borderId="130" xfId="0" applyFont="1" applyFill="1" applyBorder="1" applyAlignment="1">
      <alignment horizontal="left"/>
    </xf>
    <xf numFmtId="164" fontId="8" fillId="7" borderId="102" xfId="0" applyNumberFormat="1" applyFont="1" applyFill="1" applyBorder="1" applyAlignment="1">
      <alignment horizontal="center" vertical="center"/>
    </xf>
    <xf numFmtId="164" fontId="8" fillId="7" borderId="134" xfId="0" applyNumberFormat="1" applyFont="1" applyFill="1" applyBorder="1" applyAlignment="1">
      <alignment horizontal="center" vertical="center"/>
    </xf>
    <xf numFmtId="164" fontId="8" fillId="7" borderId="103" xfId="0" applyNumberFormat="1" applyFont="1" applyFill="1" applyBorder="1" applyAlignment="1">
      <alignment horizontal="center" vertical="center"/>
    </xf>
    <xf numFmtId="164" fontId="8" fillId="7" borderId="120" xfId="0" applyNumberFormat="1" applyFont="1" applyFill="1" applyBorder="1" applyAlignment="1">
      <alignment horizontal="center" vertical="center"/>
    </xf>
    <xf numFmtId="164" fontId="8" fillId="7" borderId="108" xfId="0" applyNumberFormat="1" applyFont="1" applyFill="1" applyBorder="1" applyAlignment="1">
      <alignment horizontal="center" vertical="center"/>
    </xf>
    <xf numFmtId="164" fontId="8" fillId="7" borderId="135" xfId="0" applyNumberFormat="1" applyFont="1" applyFill="1" applyBorder="1" applyAlignment="1">
      <alignment horizontal="center" vertical="center"/>
    </xf>
    <xf numFmtId="9" fontId="8" fillId="7" borderId="134" xfId="0" applyNumberFormat="1" applyFont="1" applyFill="1" applyBorder="1" applyAlignment="1">
      <alignment horizontal="left"/>
    </xf>
    <xf numFmtId="9" fontId="8" fillId="7" borderId="133" xfId="0" applyNumberFormat="1" applyFont="1" applyFill="1" applyBorder="1" applyAlignment="1">
      <alignment horizontal="left"/>
    </xf>
    <xf numFmtId="167" fontId="8" fillId="7" borderId="120" xfId="0" applyNumberFormat="1" applyFont="1" applyFill="1" applyBorder="1" applyAlignment="1">
      <alignment horizontal="left"/>
    </xf>
    <xf numFmtId="167" fontId="8" fillId="7" borderId="154" xfId="0" applyNumberFormat="1" applyFont="1" applyFill="1" applyBorder="1" applyAlignment="1">
      <alignment horizontal="left"/>
    </xf>
    <xf numFmtId="1" fontId="8" fillId="7" borderId="135" xfId="0" applyNumberFormat="1" applyFont="1" applyFill="1" applyBorder="1" applyAlignment="1">
      <alignment horizontal="left"/>
    </xf>
    <xf numFmtId="1" fontId="8" fillId="7" borderId="130" xfId="0" applyNumberFormat="1" applyFont="1" applyFill="1" applyBorder="1" applyAlignment="1">
      <alignment horizontal="left"/>
    </xf>
    <xf numFmtId="9" fontId="8" fillId="7" borderId="120" xfId="0" applyNumberFormat="1" applyFont="1" applyFill="1" applyBorder="1" applyAlignment="1">
      <alignment horizontal="left"/>
    </xf>
    <xf numFmtId="9" fontId="8" fillId="7" borderId="154" xfId="0" applyNumberFormat="1" applyFont="1" applyFill="1" applyBorder="1" applyAlignment="1">
      <alignment horizontal="left"/>
    </xf>
    <xf numFmtId="164" fontId="8" fillId="7" borderId="135" xfId="0" applyNumberFormat="1" applyFont="1" applyFill="1" applyBorder="1" applyAlignment="1">
      <alignment horizontal="left"/>
    </xf>
    <xf numFmtId="164" fontId="8" fillId="7" borderId="130" xfId="0" applyNumberFormat="1" applyFont="1" applyFill="1" applyBorder="1" applyAlignment="1">
      <alignment horizontal="left"/>
    </xf>
    <xf numFmtId="168" fontId="8" fillId="7" borderId="134" xfId="0" applyNumberFormat="1" applyFont="1" applyFill="1" applyBorder="1" applyAlignment="1">
      <alignment horizontal="left"/>
    </xf>
    <xf numFmtId="168" fontId="8" fillId="7" borderId="133" xfId="0" applyNumberFormat="1" applyFont="1" applyFill="1" applyBorder="1" applyAlignment="1">
      <alignment horizontal="left"/>
    </xf>
    <xf numFmtId="164" fontId="8" fillId="7" borderId="120" xfId="0" applyNumberFormat="1" applyFont="1" applyFill="1" applyBorder="1" applyAlignment="1">
      <alignment horizontal="left"/>
    </xf>
    <xf numFmtId="164" fontId="8" fillId="7" borderId="154" xfId="0" applyNumberFormat="1" applyFont="1" applyFill="1" applyBorder="1" applyAlignment="1">
      <alignment horizontal="left"/>
    </xf>
    <xf numFmtId="0" fontId="14" fillId="27" borderId="131" xfId="0" applyFont="1" applyFill="1" applyBorder="1" applyAlignment="1">
      <alignment horizontal="center" vertical="center" wrapText="1"/>
    </xf>
    <xf numFmtId="0" fontId="3" fillId="25" borderId="121" xfId="0" applyFont="1" applyFill="1" applyBorder="1"/>
    <xf numFmtId="0" fontId="15" fillId="25" borderId="196" xfId="0" applyFont="1" applyFill="1" applyBorder="1" applyAlignment="1">
      <alignment horizontal="center" vertical="center"/>
    </xf>
    <xf numFmtId="0" fontId="15" fillId="25" borderId="198" xfId="0" applyFont="1" applyFill="1" applyBorder="1" applyAlignment="1">
      <alignment horizontal="center" vertical="center"/>
    </xf>
    <xf numFmtId="0" fontId="15" fillId="25" borderId="199" xfId="0" applyFont="1" applyFill="1" applyBorder="1" applyAlignment="1">
      <alignment horizontal="center" vertical="center"/>
    </xf>
    <xf numFmtId="0" fontId="15" fillId="25" borderId="200" xfId="0" applyFont="1" applyFill="1" applyBorder="1" applyAlignment="1">
      <alignment horizontal="center" vertical="center"/>
    </xf>
    <xf numFmtId="0" fontId="15" fillId="25" borderId="186" xfId="0" applyFont="1" applyFill="1" applyBorder="1" applyAlignment="1">
      <alignment horizontal="center" vertical="center"/>
    </xf>
    <xf numFmtId="0" fontId="15" fillId="25" borderId="187" xfId="0" applyFont="1" applyFill="1" applyBorder="1" applyAlignment="1">
      <alignment horizontal="center" vertical="center"/>
    </xf>
    <xf numFmtId="0" fontId="2" fillId="2" borderId="2" xfId="0" applyFont="1" applyFill="1" applyBorder="1" applyAlignment="1">
      <alignment horizontal="center" vertical="center"/>
    </xf>
    <xf numFmtId="0" fontId="8" fillId="5" borderId="18" xfId="0" applyFont="1" applyFill="1" applyBorder="1" applyAlignment="1">
      <alignment vertical="top" wrapText="1"/>
    </xf>
    <xf numFmtId="0" fontId="3" fillId="0" borderId="19" xfId="0" applyFont="1" applyBorder="1"/>
    <xf numFmtId="0" fontId="3" fillId="0" borderId="31" xfId="0" applyFont="1" applyBorder="1"/>
    <xf numFmtId="0" fontId="8" fillId="5" borderId="120" xfId="0" applyFont="1" applyFill="1" applyBorder="1" applyAlignment="1">
      <alignment vertical="top" wrapText="1"/>
    </xf>
    <xf numFmtId="0" fontId="3" fillId="0" borderId="120" xfId="0" applyFont="1" applyBorder="1"/>
    <xf numFmtId="0" fontId="8" fillId="6" borderId="18" xfId="0" applyFont="1" applyFill="1" applyBorder="1" applyAlignment="1">
      <alignment vertical="top" wrapText="1"/>
    </xf>
    <xf numFmtId="0" fontId="8" fillId="6" borderId="120" xfId="0" applyFont="1" applyFill="1" applyBorder="1" applyAlignment="1">
      <alignment horizontal="left" vertical="top" wrapText="1"/>
    </xf>
    <xf numFmtId="0" fontId="8" fillId="5" borderId="18" xfId="0" applyFont="1" applyFill="1" applyBorder="1" applyAlignment="1">
      <alignment horizontal="left" vertical="top" wrapText="1"/>
    </xf>
    <xf numFmtId="0" fontId="8" fillId="6" borderId="86" xfId="0" applyFont="1" applyFill="1" applyBorder="1" applyAlignment="1">
      <alignment wrapText="1"/>
    </xf>
    <xf numFmtId="0" fontId="3" fillId="0" borderId="37" xfId="0" applyFont="1" applyBorder="1"/>
    <xf numFmtId="0" fontId="3" fillId="0" borderId="87" xfId="0" applyFont="1" applyBorder="1"/>
    <xf numFmtId="0" fontId="3" fillId="0" borderId="88" xfId="0" applyFont="1" applyBorder="1"/>
    <xf numFmtId="0" fontId="3" fillId="0" borderId="44" xfId="0" applyFont="1" applyBorder="1"/>
    <xf numFmtId="0" fontId="3" fillId="0" borderId="89" xfId="0" applyFont="1" applyBorder="1"/>
    <xf numFmtId="0" fontId="8" fillId="10" borderId="120" xfId="0" applyFont="1" applyFill="1" applyBorder="1" applyAlignment="1">
      <alignment vertical="top" wrapText="1"/>
    </xf>
    <xf numFmtId="0" fontId="8" fillId="10" borderId="200" xfId="0" applyFont="1" applyFill="1" applyBorder="1" applyAlignment="1">
      <alignment vertical="top" wrapText="1"/>
    </xf>
    <xf numFmtId="0" fontId="8" fillId="7" borderId="116" xfId="0" applyFont="1" applyFill="1" applyBorder="1" applyAlignment="1">
      <alignment horizontal="center"/>
    </xf>
    <xf numFmtId="0" fontId="3" fillId="0" borderId="117" xfId="0" applyFont="1" applyBorder="1"/>
    <xf numFmtId="0" fontId="14" fillId="7" borderId="113" xfId="0" applyFont="1" applyFill="1" applyBorder="1" applyAlignment="1">
      <alignment horizontal="right" vertical="center"/>
    </xf>
    <xf numFmtId="0" fontId="8" fillId="7" borderId="103" xfId="0" applyFont="1" applyFill="1" applyBorder="1"/>
    <xf numFmtId="0" fontId="14" fillId="6" borderId="8" xfId="0" applyFont="1" applyFill="1" applyBorder="1" applyAlignment="1">
      <alignment horizontal="center"/>
    </xf>
    <xf numFmtId="0" fontId="8" fillId="7" borderId="103" xfId="0" applyFont="1" applyFill="1" applyBorder="1" applyAlignment="1">
      <alignment horizontal="right"/>
    </xf>
    <xf numFmtId="0" fontId="8" fillId="10" borderId="103" xfId="0" applyFont="1" applyFill="1" applyBorder="1" applyAlignment="1">
      <alignment horizontal="right"/>
    </xf>
    <xf numFmtId="0" fontId="8" fillId="10" borderId="120" xfId="0" applyFont="1" applyFill="1" applyBorder="1" applyAlignment="1">
      <alignment horizontal="right"/>
    </xf>
    <xf numFmtId="0" fontId="14" fillId="10" borderId="199" xfId="0" applyFont="1" applyFill="1" applyBorder="1" applyAlignment="1">
      <alignment horizontal="right"/>
    </xf>
    <xf numFmtId="0" fontId="14" fillId="10" borderId="120" xfId="0" applyFont="1" applyFill="1" applyBorder="1" applyAlignment="1">
      <alignment horizontal="right"/>
    </xf>
    <xf numFmtId="0" fontId="14" fillId="10" borderId="103" xfId="0" applyFont="1" applyFill="1" applyBorder="1" applyAlignment="1">
      <alignment horizontal="right"/>
    </xf>
    <xf numFmtId="0" fontId="14" fillId="10" borderId="199" xfId="0" applyFont="1" applyFill="1" applyBorder="1" applyAlignment="1">
      <alignment horizontal="right" vertical="center"/>
    </xf>
    <xf numFmtId="0" fontId="14" fillId="10" borderId="120" xfId="0" applyFont="1" applyFill="1" applyBorder="1" applyAlignment="1">
      <alignment horizontal="right" vertical="center"/>
    </xf>
    <xf numFmtId="0" fontId="14" fillId="7" borderId="123" xfId="0" applyFont="1" applyFill="1" applyBorder="1" applyAlignment="1">
      <alignment horizontal="center"/>
    </xf>
    <xf numFmtId="0" fontId="3" fillId="0" borderId="124" xfId="0" applyFont="1" applyBorder="1"/>
    <xf numFmtId="0" fontId="3" fillId="0" borderId="125" xfId="0" applyFont="1" applyBorder="1"/>
    <xf numFmtId="0" fontId="8" fillId="7" borderId="131" xfId="0" applyFont="1" applyFill="1" applyBorder="1" applyAlignment="1">
      <alignment horizontal="center"/>
    </xf>
    <xf numFmtId="0" fontId="3" fillId="0" borderId="112" xfId="0" applyFont="1" applyBorder="1"/>
    <xf numFmtId="0" fontId="3" fillId="0" borderId="127" xfId="0" applyFont="1" applyBorder="1"/>
    <xf numFmtId="0" fontId="16" fillId="2" borderId="8" xfId="0" applyFont="1" applyFill="1" applyBorder="1"/>
    <xf numFmtId="0" fontId="8" fillId="6" borderId="5" xfId="0" applyFont="1" applyFill="1" applyBorder="1" applyAlignment="1">
      <alignment horizontal="left" vertical="top" wrapText="1"/>
    </xf>
    <xf numFmtId="0" fontId="8" fillId="5" borderId="85" xfId="0" applyFont="1" applyFill="1" applyBorder="1" applyAlignment="1">
      <alignment horizontal="left" vertical="top" wrapText="1"/>
    </xf>
    <xf numFmtId="0" fontId="14" fillId="10" borderId="113" xfId="0" applyFont="1" applyFill="1" applyBorder="1" applyAlignment="1">
      <alignment horizontal="right"/>
    </xf>
    <xf numFmtId="0" fontId="8" fillId="7" borderId="108" xfId="0" applyFont="1" applyFill="1" applyBorder="1" applyAlignment="1">
      <alignment horizontal="right"/>
    </xf>
    <xf numFmtId="0" fontId="3" fillId="0" borderId="109" xfId="0" applyFont="1" applyBorder="1"/>
    <xf numFmtId="0" fontId="3" fillId="0" borderId="101" xfId="0" applyFont="1" applyBorder="1"/>
    <xf numFmtId="0" fontId="14" fillId="7" borderId="108" xfId="0" applyFont="1" applyFill="1" applyBorder="1" applyAlignment="1">
      <alignment horizontal="right"/>
    </xf>
    <xf numFmtId="0" fontId="8" fillId="8" borderId="123" xfId="0" applyFont="1" applyFill="1" applyBorder="1" applyAlignment="1" applyProtection="1">
      <alignment horizontal="left"/>
      <protection locked="0"/>
    </xf>
    <xf numFmtId="0" fontId="3" fillId="0" borderId="124" xfId="0" applyFont="1" applyBorder="1" applyProtection="1">
      <protection locked="0"/>
    </xf>
    <xf numFmtId="0" fontId="3" fillId="0" borderId="127" xfId="0" applyFont="1" applyBorder="1" applyProtection="1">
      <protection locked="0"/>
    </xf>
    <xf numFmtId="0" fontId="8" fillId="10" borderId="8" xfId="0" applyFont="1" applyFill="1" applyBorder="1" applyAlignment="1">
      <alignment horizontal="right"/>
    </xf>
    <xf numFmtId="0" fontId="11" fillId="2" borderId="8" xfId="0" applyFont="1" applyFill="1" applyBorder="1"/>
    <xf numFmtId="0" fontId="8" fillId="7" borderId="113" xfId="0" applyFont="1" applyFill="1" applyBorder="1"/>
    <xf numFmtId="0" fontId="8" fillId="10" borderId="67" xfId="0" applyFont="1" applyFill="1" applyBorder="1" applyAlignment="1">
      <alignment horizontal="center"/>
    </xf>
    <xf numFmtId="0" fontId="10" fillId="3" borderId="2" xfId="0" applyFont="1" applyFill="1" applyBorder="1"/>
    <xf numFmtId="0" fontId="16" fillId="2" borderId="8" xfId="0" applyFont="1" applyFill="1" applyBorder="1" applyAlignment="1">
      <alignment vertical="center"/>
    </xf>
    <xf numFmtId="0" fontId="14" fillId="10" borderId="27" xfId="0" applyFont="1" applyFill="1" applyBorder="1" applyAlignment="1">
      <alignment horizontal="right"/>
    </xf>
    <xf numFmtId="0" fontId="14" fillId="7" borderId="103" xfId="0" applyFont="1" applyFill="1" applyBorder="1" applyAlignment="1">
      <alignment horizontal="right"/>
    </xf>
    <xf numFmtId="0" fontId="8" fillId="6" borderId="8" xfId="0" applyFont="1" applyFill="1" applyBorder="1" applyAlignment="1">
      <alignment horizontal="center"/>
    </xf>
    <xf numFmtId="0" fontId="22" fillId="6" borderId="86" xfId="0" applyFont="1" applyFill="1" applyBorder="1" applyAlignment="1">
      <alignment wrapText="1"/>
    </xf>
    <xf numFmtId="0" fontId="14" fillId="7" borderId="114" xfId="0" applyFont="1" applyFill="1" applyBorder="1" applyAlignment="1">
      <alignment horizontal="center" vertical="center" wrapText="1"/>
    </xf>
    <xf numFmtId="0" fontId="3" fillId="0" borderId="92" xfId="0" applyFont="1" applyBorder="1"/>
    <xf numFmtId="0" fontId="8" fillId="7" borderId="90" xfId="0" applyFont="1" applyFill="1" applyBorder="1"/>
    <xf numFmtId="0" fontId="3" fillId="0" borderId="91" xfId="0" applyFont="1" applyBorder="1"/>
    <xf numFmtId="0" fontId="14" fillId="3" borderId="8" xfId="0" applyFont="1" applyFill="1" applyBorder="1"/>
    <xf numFmtId="0" fontId="8" fillId="6" borderId="86" xfId="0" applyFont="1" applyFill="1" applyBorder="1" applyAlignment="1">
      <alignment vertical="top" wrapText="1"/>
    </xf>
    <xf numFmtId="0" fontId="14" fillId="7" borderId="90" xfId="0" applyFont="1" applyFill="1" applyBorder="1" applyAlignment="1">
      <alignment horizontal="right"/>
    </xf>
    <xf numFmtId="0" fontId="14" fillId="7" borderId="95" xfId="0" applyFont="1" applyFill="1" applyBorder="1" applyAlignment="1">
      <alignment horizontal="center" vertical="center" wrapText="1"/>
    </xf>
    <xf numFmtId="0" fontId="3" fillId="0" borderId="46" xfId="0" applyFont="1" applyBorder="1"/>
    <xf numFmtId="0" fontId="8" fillId="7" borderId="96" xfId="0" applyFont="1" applyFill="1" applyBorder="1" applyAlignment="1">
      <alignment horizontal="right"/>
    </xf>
    <xf numFmtId="0" fontId="3" fillId="0" borderId="97" xfId="0" applyFont="1" applyBorder="1"/>
    <xf numFmtId="0" fontId="8" fillId="7" borderId="100" xfId="0" applyFont="1" applyFill="1" applyBorder="1" applyAlignment="1">
      <alignment horizontal="right"/>
    </xf>
    <xf numFmtId="0" fontId="47" fillId="6" borderId="5" xfId="3" applyFont="1" applyFill="1" applyBorder="1" applyAlignment="1">
      <alignment horizontal="left" wrapText="1"/>
    </xf>
    <xf numFmtId="0" fontId="8" fillId="6" borderId="86" xfId="0" applyFont="1" applyFill="1" applyBorder="1" applyAlignment="1">
      <alignment horizontal="center" wrapText="1"/>
    </xf>
    <xf numFmtId="0" fontId="3" fillId="0" borderId="58" xfId="0" applyFont="1" applyBorder="1"/>
    <xf numFmtId="0" fontId="3" fillId="0" borderId="42" xfId="0" applyFont="1" applyBorder="1"/>
    <xf numFmtId="0" fontId="3" fillId="0" borderId="110" xfId="0" applyFont="1" applyBorder="1"/>
    <xf numFmtId="0" fontId="3" fillId="0" borderId="39" xfId="0" applyFont="1" applyBorder="1"/>
    <xf numFmtId="0" fontId="8" fillId="11" borderId="123" xfId="0" applyFont="1" applyFill="1" applyBorder="1" applyProtection="1">
      <protection locked="0"/>
    </xf>
    <xf numFmtId="0" fontId="8" fillId="11" borderId="216" xfId="0" applyFont="1" applyFill="1" applyBorder="1" applyProtection="1">
      <protection locked="0"/>
    </xf>
    <xf numFmtId="0" fontId="3" fillId="0" borderId="217" xfId="0" applyFont="1" applyBorder="1" applyProtection="1">
      <protection locked="0"/>
    </xf>
    <xf numFmtId="0" fontId="8" fillId="34" borderId="244" xfId="0" applyFont="1" applyFill="1" applyBorder="1" applyProtection="1">
      <protection locked="0"/>
    </xf>
    <xf numFmtId="0" fontId="3" fillId="33" borderId="241" xfId="0" applyFont="1" applyFill="1" applyBorder="1" applyProtection="1">
      <protection locked="0"/>
    </xf>
    <xf numFmtId="0" fontId="8" fillId="11" borderId="118" xfId="0" applyFont="1" applyFill="1" applyBorder="1" applyProtection="1">
      <protection locked="0"/>
    </xf>
    <xf numFmtId="0" fontId="3" fillId="0" borderId="130" xfId="0" applyFont="1" applyBorder="1" applyProtection="1">
      <protection locked="0"/>
    </xf>
    <xf numFmtId="0" fontId="25" fillId="6" borderId="86" xfId="0" applyFont="1" applyFill="1" applyBorder="1" applyAlignment="1">
      <alignment vertical="top" wrapText="1"/>
    </xf>
    <xf numFmtId="0" fontId="0" fillId="0" borderId="0" xfId="0" applyFont="1" applyAlignment="1"/>
    <xf numFmtId="0" fontId="8" fillId="11" borderId="247" xfId="0" applyFont="1" applyFill="1" applyBorder="1" applyProtection="1">
      <protection locked="0"/>
    </xf>
    <xf numFmtId="0" fontId="3" fillId="0" borderId="248" xfId="0" applyFont="1" applyBorder="1" applyProtection="1">
      <protection locked="0"/>
    </xf>
    <xf numFmtId="0" fontId="8" fillId="34" borderId="242" xfId="0" applyFont="1" applyFill="1" applyBorder="1" applyProtection="1">
      <protection locked="0"/>
    </xf>
    <xf numFmtId="0" fontId="3" fillId="33" borderId="243" xfId="0" applyFont="1" applyFill="1" applyBorder="1" applyProtection="1">
      <protection locked="0"/>
    </xf>
    <xf numFmtId="0" fontId="8" fillId="6" borderId="18" xfId="0" applyFont="1" applyFill="1" applyBorder="1" applyAlignment="1">
      <alignment horizontal="center" vertical="center" wrapText="1"/>
    </xf>
    <xf numFmtId="9" fontId="8" fillId="6" borderId="8" xfId="0" applyNumberFormat="1" applyFont="1" applyFill="1" applyBorder="1" applyAlignment="1">
      <alignment horizontal="center"/>
    </xf>
    <xf numFmtId="0" fontId="8" fillId="11" borderId="132" xfId="0" applyFont="1" applyFill="1" applyBorder="1" applyProtection="1">
      <protection locked="0"/>
    </xf>
    <xf numFmtId="0" fontId="3" fillId="0" borderId="133" xfId="0" applyFont="1" applyBorder="1" applyProtection="1">
      <protection locked="0"/>
    </xf>
    <xf numFmtId="0" fontId="8" fillId="5" borderId="120" xfId="0" applyFont="1" applyFill="1" applyBorder="1" applyAlignment="1">
      <alignment horizontal="left" vertical="top" wrapText="1"/>
    </xf>
    <xf numFmtId="0" fontId="8" fillId="6" borderId="100" xfId="0" applyFont="1" applyFill="1" applyBorder="1" applyAlignment="1">
      <alignment horizontal="center"/>
    </xf>
    <xf numFmtId="0" fontId="8" fillId="11" borderId="139" xfId="0" applyFont="1" applyFill="1" applyBorder="1" applyProtection="1">
      <protection locked="0"/>
    </xf>
    <xf numFmtId="0" fontId="3" fillId="0" borderId="140" xfId="0" applyFont="1" applyBorder="1" applyProtection="1">
      <protection locked="0"/>
    </xf>
    <xf numFmtId="0" fontId="3" fillId="0" borderId="141" xfId="0" applyFont="1" applyBorder="1" applyProtection="1">
      <protection locked="0"/>
    </xf>
    <xf numFmtId="0" fontId="14" fillId="6" borderId="18" xfId="0" applyFont="1" applyFill="1" applyBorder="1" applyAlignment="1">
      <alignment horizontal="center" vertical="center"/>
    </xf>
    <xf numFmtId="0" fontId="3" fillId="0" borderId="135" xfId="0" applyFont="1" applyBorder="1"/>
    <xf numFmtId="0" fontId="8" fillId="6" borderId="116" xfId="0" applyFont="1" applyFill="1" applyBorder="1" applyAlignment="1">
      <alignment horizontal="center"/>
    </xf>
    <xf numFmtId="0" fontId="3" fillId="0" borderId="133" xfId="0" applyFont="1" applyBorder="1"/>
    <xf numFmtId="9" fontId="8" fillId="8" borderId="139" xfId="0" applyNumberFormat="1" applyFont="1" applyFill="1" applyBorder="1" applyProtection="1">
      <protection locked="0"/>
    </xf>
    <xf numFmtId="0" fontId="8" fillId="8" borderId="123" xfId="0" applyFont="1" applyFill="1" applyBorder="1" applyProtection="1">
      <protection locked="0"/>
    </xf>
    <xf numFmtId="0" fontId="27" fillId="6" borderId="86" xfId="0" applyFont="1" applyFill="1" applyBorder="1" applyAlignment="1">
      <alignment vertical="top" wrapText="1"/>
    </xf>
    <xf numFmtId="0" fontId="3" fillId="0" borderId="134" xfId="0" applyFont="1" applyBorder="1"/>
    <xf numFmtId="0" fontId="8" fillId="6" borderId="18" xfId="0" applyFont="1" applyFill="1" applyBorder="1" applyAlignment="1">
      <alignment horizontal="right" wrapText="1"/>
    </xf>
    <xf numFmtId="0" fontId="8" fillId="11" borderId="142" xfId="0" applyFont="1" applyFill="1" applyBorder="1" applyProtection="1">
      <protection locked="0"/>
    </xf>
    <xf numFmtId="0" fontId="8" fillId="11" borderId="140" xfId="0" applyFont="1" applyFill="1" applyBorder="1" applyProtection="1">
      <protection locked="0"/>
    </xf>
    <xf numFmtId="0" fontId="8" fillId="11" borderId="141" xfId="0" applyFont="1" applyFill="1" applyBorder="1" applyProtection="1">
      <protection locked="0"/>
    </xf>
    <xf numFmtId="0" fontId="8" fillId="34" borderId="250" xfId="0" applyFont="1" applyFill="1" applyBorder="1" applyProtection="1">
      <protection locked="0"/>
    </xf>
    <xf numFmtId="0" fontId="8" fillId="11" borderId="251" xfId="0" applyFont="1" applyFill="1" applyBorder="1" applyProtection="1">
      <protection locked="0"/>
    </xf>
    <xf numFmtId="0" fontId="8" fillId="11" borderId="252" xfId="0" applyFont="1" applyFill="1" applyBorder="1" applyProtection="1">
      <protection locked="0"/>
    </xf>
    <xf numFmtId="0" fontId="8" fillId="11" borderId="253" xfId="0" applyFont="1" applyFill="1" applyBorder="1" applyProtection="1">
      <protection locked="0"/>
    </xf>
    <xf numFmtId="0" fontId="8" fillId="11" borderId="280" xfId="0" applyFont="1" applyFill="1" applyBorder="1" applyProtection="1">
      <protection locked="0"/>
    </xf>
    <xf numFmtId="0" fontId="8" fillId="11" borderId="281" xfId="0" applyFont="1" applyFill="1" applyBorder="1" applyProtection="1">
      <protection locked="0"/>
    </xf>
    <xf numFmtId="0" fontId="8" fillId="11" borderId="282" xfId="0" applyFont="1" applyFill="1" applyBorder="1" applyProtection="1">
      <protection locked="0"/>
    </xf>
    <xf numFmtId="0" fontId="0" fillId="5" borderId="18" xfId="0" applyFont="1" applyFill="1" applyBorder="1" applyAlignment="1">
      <alignment vertical="top" wrapText="1"/>
    </xf>
    <xf numFmtId="0" fontId="9" fillId="0" borderId="124" xfId="0" applyFont="1" applyBorder="1" applyProtection="1">
      <protection locked="0"/>
    </xf>
    <xf numFmtId="0" fontId="9" fillId="0" borderId="127" xfId="0" applyFont="1" applyBorder="1" applyProtection="1">
      <protection locked="0"/>
    </xf>
    <xf numFmtId="0" fontId="0" fillId="6" borderId="100" xfId="0" applyFont="1" applyFill="1" applyBorder="1"/>
    <xf numFmtId="0" fontId="9" fillId="0" borderId="140" xfId="0" applyFont="1" applyBorder="1" applyProtection="1">
      <protection locked="0"/>
    </xf>
    <xf numFmtId="0" fontId="9" fillId="0" borderId="141" xfId="0" applyFont="1" applyBorder="1" applyProtection="1">
      <protection locked="0"/>
    </xf>
    <xf numFmtId="0" fontId="8" fillId="8" borderId="143" xfId="0" applyFont="1" applyFill="1" applyBorder="1" applyAlignment="1" applyProtection="1">
      <alignment horizontal="left"/>
      <protection locked="0"/>
    </xf>
    <xf numFmtId="0" fontId="3" fillId="0" borderId="144" xfId="0" applyFont="1" applyBorder="1" applyProtection="1">
      <protection locked="0"/>
    </xf>
    <xf numFmtId="0" fontId="3" fillId="0" borderId="145" xfId="0" applyFont="1" applyBorder="1" applyProtection="1">
      <protection locked="0"/>
    </xf>
    <xf numFmtId="0" fontId="14" fillId="7" borderId="100" xfId="0" applyFont="1" applyFill="1" applyBorder="1" applyAlignment="1">
      <alignment horizontal="right"/>
    </xf>
    <xf numFmtId="0" fontId="8" fillId="7" borderId="18" xfId="0" applyFont="1" applyFill="1" applyBorder="1"/>
    <xf numFmtId="0" fontId="8" fillId="7" borderId="150" xfId="0" applyFont="1" applyFill="1" applyBorder="1" applyAlignment="1">
      <alignment vertical="center" textRotation="90" wrapText="1"/>
    </xf>
    <xf numFmtId="0" fontId="3" fillId="0" borderId="70" xfId="0" applyFont="1" applyBorder="1"/>
    <xf numFmtId="0" fontId="3" fillId="0" borderId="51" xfId="0" applyFont="1" applyBorder="1"/>
    <xf numFmtId="0" fontId="8" fillId="7" borderId="150" xfId="0" applyFont="1" applyFill="1" applyBorder="1" applyAlignment="1">
      <alignment horizontal="center" vertical="center" textRotation="90"/>
    </xf>
    <xf numFmtId="0" fontId="8" fillId="7" borderId="147" xfId="0" applyFont="1" applyFill="1" applyBorder="1" applyAlignment="1">
      <alignment horizontal="center" vertical="center" textRotation="90"/>
    </xf>
    <xf numFmtId="0" fontId="3" fillId="0" borderId="148" xfId="0" applyFont="1" applyBorder="1"/>
    <xf numFmtId="0" fontId="3" fillId="0" borderId="149" xfId="0" applyFont="1" applyBorder="1"/>
    <xf numFmtId="0" fontId="3" fillId="0" borderId="153" xfId="0" applyFont="1" applyBorder="1"/>
    <xf numFmtId="0" fontId="8" fillId="5" borderId="18" xfId="0" applyFont="1" applyFill="1" applyBorder="1" applyAlignment="1">
      <alignment horizontal="center" vertical="top" wrapText="1"/>
    </xf>
    <xf numFmtId="0" fontId="8" fillId="7" borderId="18" xfId="0" applyFont="1" applyFill="1" applyBorder="1" applyAlignment="1">
      <alignment horizontal="center" vertical="center" textRotation="90"/>
    </xf>
    <xf numFmtId="0" fontId="3" fillId="0" borderId="146" xfId="0" applyFont="1" applyBorder="1"/>
    <xf numFmtId="0" fontId="14" fillId="3" borderId="163" xfId="0" applyFont="1" applyFill="1" applyBorder="1"/>
    <xf numFmtId="0" fontId="3" fillId="0" borderId="164" xfId="0" applyFont="1" applyBorder="1"/>
    <xf numFmtId="0" fontId="14" fillId="3" borderId="160" xfId="0" applyFont="1" applyFill="1" applyBorder="1"/>
    <xf numFmtId="0" fontId="3" fillId="0" borderId="161" xfId="0" applyFont="1" applyBorder="1"/>
    <xf numFmtId="0" fontId="11" fillId="0" borderId="160" xfId="0" applyFont="1" applyBorder="1" applyAlignment="1">
      <alignment horizontal="center"/>
    </xf>
    <xf numFmtId="9" fontId="11" fillId="0" borderId="160" xfId="0" applyNumberFormat="1" applyFont="1" applyBorder="1" applyAlignment="1">
      <alignment horizontal="center"/>
    </xf>
    <xf numFmtId="0" fontId="11" fillId="18" borderId="160" xfId="0" applyFont="1" applyFill="1" applyBorder="1" applyAlignment="1">
      <alignment horizontal="center"/>
    </xf>
    <xf numFmtId="9" fontId="11" fillId="3" borderId="160" xfId="0" applyNumberFormat="1" applyFont="1" applyFill="1" applyBorder="1" applyAlignment="1">
      <alignment horizontal="center"/>
    </xf>
    <xf numFmtId="0" fontId="11" fillId="3" borderId="160" xfId="0" applyFont="1" applyFill="1" applyBorder="1" applyAlignment="1">
      <alignment horizontal="center"/>
    </xf>
    <xf numFmtId="9" fontId="52" fillId="0" borderId="160" xfId="0" applyNumberFormat="1" applyFont="1" applyBorder="1" applyAlignment="1">
      <alignment horizontal="center"/>
    </xf>
    <xf numFmtId="9" fontId="52" fillId="0" borderId="161" xfId="0" applyNumberFormat="1" applyFont="1" applyBorder="1" applyAlignment="1">
      <alignment horizontal="center"/>
    </xf>
    <xf numFmtId="0" fontId="16" fillId="17" borderId="8" xfId="0" applyFont="1" applyFill="1" applyBorder="1" applyAlignment="1">
      <alignment horizontal="center" vertical="center"/>
    </xf>
    <xf numFmtId="0" fontId="52" fillId="3" borderId="160" xfId="0" applyFont="1" applyFill="1" applyBorder="1" applyAlignment="1">
      <alignment horizontal="center"/>
    </xf>
    <xf numFmtId="0" fontId="53" fillId="0" borderId="161" xfId="0" applyFont="1" applyBorder="1"/>
    <xf numFmtId="0" fontId="8" fillId="3" borderId="18" xfId="0" applyFont="1" applyFill="1" applyBorder="1" applyAlignment="1">
      <alignment vertical="top" wrapText="1"/>
    </xf>
    <xf numFmtId="0" fontId="14" fillId="27" borderId="228" xfId="0" applyFont="1" applyFill="1" applyBorder="1" applyAlignment="1">
      <alignment horizontal="center" vertical="center"/>
    </xf>
    <xf numFmtId="0" fontId="3" fillId="25" borderId="226" xfId="0" applyFont="1" applyFill="1" applyBorder="1"/>
    <xf numFmtId="0" fontId="15" fillId="26" borderId="196" xfId="0" applyFont="1" applyFill="1" applyBorder="1" applyAlignment="1">
      <alignment horizontal="center" vertical="center"/>
    </xf>
    <xf numFmtId="0" fontId="3" fillId="25" borderId="197" xfId="0" applyFont="1" applyFill="1" applyBorder="1"/>
    <xf numFmtId="0" fontId="3" fillId="25" borderId="224" xfId="0" applyFont="1" applyFill="1" applyBorder="1"/>
    <xf numFmtId="0" fontId="0" fillId="25" borderId="120" xfId="0" applyFont="1" applyFill="1" applyBorder="1" applyAlignment="1"/>
    <xf numFmtId="0" fontId="3" fillId="25" borderId="77" xfId="0" applyFont="1" applyFill="1" applyBorder="1"/>
    <xf numFmtId="0" fontId="15" fillId="26" borderId="225" xfId="0" applyFont="1" applyFill="1" applyBorder="1" applyAlignment="1">
      <alignment horizontal="center" vertical="center"/>
    </xf>
    <xf numFmtId="0" fontId="9" fillId="26" borderId="103" xfId="0" applyFont="1" applyFill="1" applyBorder="1" applyAlignment="1">
      <alignment horizontal="center" vertical="center" wrapText="1"/>
    </xf>
    <xf numFmtId="0" fontId="14" fillId="27" borderId="70" xfId="0" applyFont="1" applyFill="1" applyBorder="1" applyAlignment="1">
      <alignment horizontal="center" vertical="center" wrapText="1"/>
    </xf>
    <xf numFmtId="0" fontId="3" fillId="25" borderId="154" xfId="0" applyFont="1" applyFill="1" applyBorder="1"/>
    <xf numFmtId="0" fontId="8" fillId="9" borderId="270" xfId="0" applyFont="1" applyFill="1" applyBorder="1" applyAlignment="1">
      <alignment horizontal="center" vertical="top" wrapText="1"/>
    </xf>
    <xf numFmtId="0" fontId="8" fillId="9" borderId="120" xfId="0" applyFont="1" applyFill="1" applyBorder="1" applyAlignment="1">
      <alignment horizontal="center" vertical="top" wrapText="1"/>
    </xf>
    <xf numFmtId="0" fontId="3" fillId="25" borderId="198" xfId="0" applyFont="1" applyFill="1" applyBorder="1"/>
    <xf numFmtId="0" fontId="3" fillId="25" borderId="200" xfId="0" applyFont="1" applyFill="1" applyBorder="1"/>
    <xf numFmtId="0" fontId="3" fillId="25" borderId="227" xfId="0" applyFont="1" applyFill="1" applyBorder="1"/>
    <xf numFmtId="0" fontId="14" fillId="27" borderId="229" xfId="0" applyFont="1" applyFill="1" applyBorder="1" applyAlignment="1">
      <alignment horizontal="center" vertical="center" wrapText="1"/>
    </xf>
  </cellXfs>
  <cellStyles count="7">
    <cellStyle name="40% - Accent4" xfId="1" builtinId="43"/>
    <cellStyle name="Comma" xfId="4" builtinId="3"/>
    <cellStyle name="Currency" xfId="2" builtinId="4"/>
    <cellStyle name="Hyperlink" xfId="3" builtinId="8"/>
    <cellStyle name="Neutral" xfId="6" builtinId="28"/>
    <cellStyle name="Normal" xfId="0" builtinId="0"/>
    <cellStyle name="Percent" xfId="5" builtinId="5"/>
  </cellStyles>
  <dxfs count="0"/>
  <tableStyles count="0" defaultTableStyle="TableStyleMedium2" defaultPivotStyle="PivotStyleLight16"/>
  <colors>
    <mruColors>
      <color rgb="FFB7CDD1"/>
      <color rgb="FF134F5C"/>
      <color rgb="FF76A5AF"/>
      <color rgb="FFD0E0E3"/>
      <color rgb="FFC9DAF8"/>
      <color rgb="FFB6D7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Cumulative carbon after 1 year</a:t>
            </a:r>
            <a:r>
              <a:rPr lang="en-US" baseline="0"/>
              <a:t> </a:t>
            </a:r>
            <a:r>
              <a:rPr lang="en-US"/>
              <a:t>occupancy</a:t>
            </a:r>
          </a:p>
        </c:rich>
      </c:tx>
      <c:layout>
        <c:manualLayout>
          <c:xMode val="edge"/>
          <c:yMode val="edge"/>
          <c:x val="0.13460577427821524"/>
          <c:y val="5.230186864092187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xMode val="edge"/>
          <c:yMode val="edge"/>
          <c:x val="0.21092725646177565"/>
          <c:y val="0.19777777777777777"/>
          <c:w val="0.59947746573346772"/>
          <c:h val="0.75497330613550906"/>
        </c:manualLayout>
      </c:layout>
      <c:doughnutChart>
        <c:varyColors val="1"/>
        <c:ser>
          <c:idx val="0"/>
          <c:order val="0"/>
          <c:dPt>
            <c:idx val="0"/>
            <c:bubble3D val="0"/>
            <c:spPr>
              <a:solidFill>
                <a:schemeClr val="accent1">
                  <a:shade val="65000"/>
                </a:schemeClr>
              </a:solidFill>
              <a:ln w="19050">
                <a:solidFill>
                  <a:schemeClr val="lt1"/>
                </a:solidFill>
              </a:ln>
              <a:effectLst/>
            </c:spPr>
            <c:extLst>
              <c:ext xmlns:c16="http://schemas.microsoft.com/office/drawing/2014/chart" uri="{C3380CC4-5D6E-409C-BE32-E72D297353CC}">
                <c16:uniqueId val="{00000001-9421-42F1-A605-11FB42B487A9}"/>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2-445F-412F-BDCC-98ABB32F321B}"/>
              </c:ext>
            </c:extLst>
          </c:dPt>
          <c:dPt>
            <c:idx val="2"/>
            <c:bubble3D val="0"/>
            <c:spPr>
              <a:solidFill>
                <a:schemeClr val="accent1">
                  <a:tint val="65000"/>
                </a:schemeClr>
              </a:solidFill>
              <a:ln w="19050">
                <a:solidFill>
                  <a:schemeClr val="lt1"/>
                </a:solidFill>
              </a:ln>
              <a:effectLst/>
            </c:spPr>
            <c:extLst>
              <c:ext xmlns:c16="http://schemas.microsoft.com/office/drawing/2014/chart" uri="{C3380CC4-5D6E-409C-BE32-E72D297353CC}">
                <c16:uniqueId val="{00000003-445F-412F-BDCC-98ABB32F321B}"/>
              </c:ext>
            </c:extLst>
          </c:dPt>
          <c:dLbls>
            <c:dLbl>
              <c:idx val="0"/>
              <c:layout>
                <c:manualLayout>
                  <c:x val="0.1970635538768587"/>
                  <c:y val="-4.998633720587943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a:noFill/>
                      </a:ln>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21372027187488676"/>
                      <c:h val="0.18540350717631662"/>
                    </c:manualLayout>
                  </c15:layout>
                </c:ext>
                <c:ext xmlns:c16="http://schemas.microsoft.com/office/drawing/2014/chart" uri="{C3380CC4-5D6E-409C-BE32-E72D297353CC}">
                  <c16:uniqueId val="{00000001-9421-42F1-A605-11FB42B487A9}"/>
                </c:ext>
              </c:extLst>
            </c:dLbl>
            <c:dLbl>
              <c:idx val="1"/>
              <c:layout>
                <c:manualLayout>
                  <c:x val="0.13111329319129225"/>
                  <c:y val="3.718459495351925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45F-412F-BDCC-98ABB32F321B}"/>
                </c:ext>
              </c:extLst>
            </c:dLbl>
            <c:dLbl>
              <c:idx val="2"/>
              <c:layout>
                <c:manualLayout>
                  <c:x val="-0.11042439225381132"/>
                  <c:y val="0"/>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45F-412F-BDCC-98ABB32F321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noFill/>
                  <a:round/>
                </a:ln>
                <a:effectLst/>
              </c:spPr>
            </c:leaderLines>
            <c:extLst>
              <c:ext xmlns:c15="http://schemas.microsoft.com/office/drawing/2012/chart" uri="{CE6537A1-D6FC-4f65-9D91-7224C49458BB}"/>
            </c:extLst>
          </c:dLbls>
          <c:cat>
            <c:strRef>
              <c:f>Results!$P$44:$R$44</c:f>
              <c:strCache>
                <c:ptCount val="3"/>
                <c:pt idx="0">
                  <c:v>Commute/year</c:v>
                </c:pt>
                <c:pt idx="1">
                  <c:v>Energy/year</c:v>
                </c:pt>
                <c:pt idx="2">
                  <c:v>Building Materials </c:v>
                </c:pt>
              </c:strCache>
            </c:strRef>
          </c:cat>
          <c:val>
            <c:numRef>
              <c:f>Results!$P$45:$R$45</c:f>
              <c:numCache>
                <c:formatCode>0.0%</c:formatCode>
                <c:ptCount val="3"/>
                <c:pt idx="0">
                  <c:v>0.17575155148834451</c:v>
                </c:pt>
                <c:pt idx="1">
                  <c:v>0.21266472323819924</c:v>
                </c:pt>
                <c:pt idx="2">
                  <c:v>0.61158372527345628</c:v>
                </c:pt>
              </c:numCache>
            </c:numRef>
          </c:val>
          <c:extLst>
            <c:ext xmlns:c16="http://schemas.microsoft.com/office/drawing/2014/chart" uri="{C3380CC4-5D6E-409C-BE32-E72D297353CC}">
              <c16:uniqueId val="{00000002-9421-42F1-A605-11FB42B487A9}"/>
            </c:ext>
          </c:extLst>
        </c:ser>
        <c:dLbls>
          <c:showLegendKey val="0"/>
          <c:showVal val="0"/>
          <c:showCatName val="0"/>
          <c:showSerName val="0"/>
          <c:showPercent val="1"/>
          <c:showBubbleSize val="0"/>
          <c:showLeaderLines val="1"/>
        </c:dLbls>
        <c:firstSliceAng val="0"/>
        <c:holeSize val="75"/>
      </c:doughnutChart>
      <c:spPr>
        <a:noFill/>
        <a:ln>
          <a:noFill/>
        </a:ln>
        <a:effectLst/>
      </c:spPr>
    </c:plotArea>
    <c:plotVisOnly val="1"/>
    <c:dispBlanksAs val="zero"/>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Cumulative carbon over building life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xMode val="edge"/>
          <c:yMode val="edge"/>
          <c:x val="0.20264017562198"/>
          <c:y val="0.20381231671554254"/>
          <c:w val="0.6038327437967782"/>
          <c:h val="0.67207984096411866"/>
        </c:manualLayout>
      </c:layout>
      <c:doughnutChart>
        <c:varyColors val="1"/>
        <c:ser>
          <c:idx val="0"/>
          <c:order val="0"/>
          <c:dPt>
            <c:idx val="0"/>
            <c:bubble3D val="0"/>
            <c:spPr>
              <a:solidFill>
                <a:schemeClr val="accent1">
                  <a:shade val="65000"/>
                </a:schemeClr>
              </a:solidFill>
              <a:ln w="19050">
                <a:solidFill>
                  <a:schemeClr val="lt1"/>
                </a:solidFill>
              </a:ln>
              <a:effectLst/>
            </c:spPr>
            <c:extLst>
              <c:ext xmlns:c16="http://schemas.microsoft.com/office/drawing/2014/chart" uri="{C3380CC4-5D6E-409C-BE32-E72D297353CC}">
                <c16:uniqueId val="{00000001-4BD5-4ECB-8990-38E371A97E77}"/>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2-DC88-4ADC-A1AB-122ADA6462AC}"/>
              </c:ext>
            </c:extLst>
          </c:dPt>
          <c:dPt>
            <c:idx val="2"/>
            <c:bubble3D val="0"/>
            <c:spPr>
              <a:solidFill>
                <a:schemeClr val="accent1">
                  <a:tint val="65000"/>
                </a:schemeClr>
              </a:solidFill>
              <a:ln w="19050">
                <a:solidFill>
                  <a:schemeClr val="lt1"/>
                </a:solidFill>
              </a:ln>
              <a:effectLst/>
            </c:spPr>
            <c:extLst>
              <c:ext xmlns:c16="http://schemas.microsoft.com/office/drawing/2014/chart" uri="{C3380CC4-5D6E-409C-BE32-E72D297353CC}">
                <c16:uniqueId val="{00000003-DC88-4ADC-A1AB-122ADA6462AC}"/>
              </c:ext>
            </c:extLst>
          </c:dPt>
          <c:dLbls>
            <c:dLbl>
              <c:idx val="0"/>
              <c:layout>
                <c:manualLayout>
                  <c:x val="0.12417319372660697"/>
                  <c:y val="0.1883176244990391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BD5-4ECB-8990-38E371A97E77}"/>
                </c:ext>
              </c:extLst>
            </c:dLbl>
            <c:dLbl>
              <c:idx val="1"/>
              <c:layout>
                <c:manualLayout>
                  <c:x val="-0.11515767050857773"/>
                  <c:y val="-3.6151950471839923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C88-4ADC-A1AB-122ADA6462AC}"/>
                </c:ext>
              </c:extLst>
            </c:dLbl>
            <c:dLbl>
              <c:idx val="2"/>
              <c:layout>
                <c:manualLayout>
                  <c:x val="0.27435809654227994"/>
                  <c:y val="7.527839554406844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C88-4ADC-A1AB-122ADA6462A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noFill/>
                  <a:round/>
                </a:ln>
                <a:effectLst/>
              </c:spPr>
            </c:leaderLines>
            <c:extLst>
              <c:ext xmlns:c15="http://schemas.microsoft.com/office/drawing/2012/chart" uri="{CE6537A1-D6FC-4f65-9D91-7224C49458BB}"/>
            </c:extLst>
          </c:dLbls>
          <c:cat>
            <c:strRef>
              <c:f>Results!$P$44:$R$44</c:f>
              <c:strCache>
                <c:ptCount val="3"/>
                <c:pt idx="0">
                  <c:v>Commute/year</c:v>
                </c:pt>
                <c:pt idx="1">
                  <c:v>Energy/year</c:v>
                </c:pt>
                <c:pt idx="2">
                  <c:v>Building Materials </c:v>
                </c:pt>
              </c:strCache>
            </c:strRef>
          </c:cat>
          <c:val>
            <c:numRef>
              <c:f>Results!$P$49:$R$49</c:f>
              <c:numCache>
                <c:formatCode>0.0%</c:formatCode>
                <c:ptCount val="3"/>
                <c:pt idx="0">
                  <c:v>0.44894798807313924</c:v>
                </c:pt>
                <c:pt idx="1">
                  <c:v>0.54324072148092684</c:v>
                </c:pt>
                <c:pt idx="2">
                  <c:v>7.8112904459339185E-3</c:v>
                </c:pt>
              </c:numCache>
            </c:numRef>
          </c:val>
          <c:extLst>
            <c:ext xmlns:c16="http://schemas.microsoft.com/office/drawing/2014/chart" uri="{C3380CC4-5D6E-409C-BE32-E72D297353CC}">
              <c16:uniqueId val="{00000002-4BD5-4ECB-8990-38E371A97E77}"/>
            </c:ext>
          </c:extLst>
        </c:ser>
        <c:dLbls>
          <c:showLegendKey val="0"/>
          <c:showVal val="0"/>
          <c:showCatName val="1"/>
          <c:showSerName val="0"/>
          <c:showPercent val="1"/>
          <c:showBubbleSize val="0"/>
          <c:showLeaderLines val="1"/>
        </c:dLbls>
        <c:firstSliceAng val="0"/>
        <c:holeSize val="75"/>
      </c:doughnutChart>
      <c:spPr>
        <a:noFill/>
        <a:ln>
          <a:noFill/>
        </a:ln>
        <a:effectLst/>
      </c:spPr>
    </c:plotArea>
    <c:plotVisOnly val="1"/>
    <c:dispBlanksAs val="zero"/>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12</xdr:col>
      <xdr:colOff>13606</xdr:colOff>
      <xdr:row>18</xdr:row>
      <xdr:rowOff>68036</xdr:rowOff>
    </xdr:from>
    <xdr:ext cx="3891643" cy="2462893"/>
    <xdr:graphicFrame macro="">
      <xdr:nvGraphicFramePr>
        <xdr:cNvPr id="2" name="Chart 1" title="Chart">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16</xdr:col>
      <xdr:colOff>967467</xdr:colOff>
      <xdr:row>18</xdr:row>
      <xdr:rowOff>69394</xdr:rowOff>
    </xdr:from>
    <xdr:ext cx="3614057" cy="2521405"/>
    <xdr:graphicFrame macro="">
      <xdr:nvGraphicFramePr>
        <xdr:cNvPr id="3" name="Chart 2" title="Chart">
          <a:extLst>
            <a:ext uri="{FF2B5EF4-FFF2-40B4-BE49-F238E27FC236}">
              <a16:creationId xmlns:a16="http://schemas.microsoft.com/office/drawing/2014/main" id="{00000000-0008-0000-0C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3</xdr:col>
      <xdr:colOff>9525</xdr:colOff>
      <xdr:row>1</xdr:row>
      <xdr:rowOff>57149</xdr:rowOff>
    </xdr:from>
    <xdr:ext cx="3902699" cy="619125"/>
    <xdr:pic>
      <xdr:nvPicPr>
        <xdr:cNvPr id="4" name="image1.jpg" title="Image">
          <a:extLst>
            <a:ext uri="{FF2B5EF4-FFF2-40B4-BE49-F238E27FC236}">
              <a16:creationId xmlns:a16="http://schemas.microsoft.com/office/drawing/2014/main" id="{00000000-0008-0000-0C00-000004000000}"/>
            </a:ext>
          </a:extLst>
        </xdr:cNvPr>
        <xdr:cNvPicPr preferRelativeResize="0"/>
      </xdr:nvPicPr>
      <xdr:blipFill>
        <a:blip xmlns:r="http://schemas.openxmlformats.org/officeDocument/2006/relationships" r:embed="rId3" cstate="print"/>
        <a:stretch>
          <a:fillRect/>
        </a:stretch>
      </xdr:blipFill>
      <xdr:spPr>
        <a:xfrm>
          <a:off x="3276600" y="457199"/>
          <a:ext cx="3902699" cy="619125"/>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basc.pnnl.gov/images/iecc-climate-zone-ma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eia.gov/consumption/commercial/building-type-definitions.php" TargetMode="External"/><Relationship Id="rId2" Type="http://schemas.openxmlformats.org/officeDocument/2006/relationships/hyperlink" Target="https://2030ddx.aia.org/" TargetMode="External"/><Relationship Id="rId1" Type="http://schemas.openxmlformats.org/officeDocument/2006/relationships/hyperlink" Target="https://www.eia.gov/consumption/commercial/archive/cbecs/cbecs2003/detailed_tables_2003/2003set14/2003html/c3a.html" TargetMode="Externa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walkscore.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gsa.gov/policy-regulations/policy/real-property-policy/best-practices-and-tools/office-workplace-best-practices/workspace-utilization-and-allocation" TargetMode="External"/><Relationship Id="rId1" Type="http://schemas.openxmlformats.org/officeDocument/2006/relationships/hyperlink" Target="https://facilityexecutive.com/2017/07/boma-shares-2017-office-industrial-property-benchmarking-report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E999"/>
  <sheetViews>
    <sheetView tabSelected="1" zoomScaleNormal="100" workbookViewId="0">
      <pane ySplit="3" topLeftCell="A4" activePane="bottomLeft" state="frozen"/>
      <selection pane="bottomLeft" activeCell="L30" sqref="L30"/>
    </sheetView>
  </sheetViews>
  <sheetFormatPr defaultColWidth="14.42578125" defaultRowHeight="15" customHeight="1"/>
  <cols>
    <col min="1" max="1" width="4.5703125" customWidth="1"/>
    <col min="2" max="2" width="17.140625" customWidth="1"/>
    <col min="3" max="3" width="17.140625" style="361" customWidth="1"/>
    <col min="4" max="4" width="3.140625" style="361" customWidth="1"/>
    <col min="5" max="5" width="29.140625" style="361" customWidth="1"/>
    <col min="6" max="6" width="27" customWidth="1"/>
    <col min="7" max="7" width="14.28515625" customWidth="1"/>
    <col min="8" max="8" width="3.7109375" style="367" customWidth="1"/>
    <col min="9" max="9" width="3.140625" customWidth="1"/>
    <col min="10" max="10" width="19.5703125" customWidth="1"/>
    <col min="11" max="12" width="14.42578125" customWidth="1"/>
    <col min="13" max="13" width="9.85546875" customWidth="1"/>
    <col min="14" max="15" width="14.42578125" customWidth="1"/>
    <col min="16" max="16" width="19.28515625" customWidth="1"/>
    <col min="17" max="17" width="4.7109375" customWidth="1"/>
    <col min="18" max="18" width="12.7109375" customWidth="1"/>
    <col min="19" max="19" width="18.5703125" customWidth="1"/>
    <col min="20" max="20" width="14.42578125" customWidth="1"/>
    <col min="21" max="21" width="15.85546875" customWidth="1"/>
    <col min="22" max="36" width="14.42578125" hidden="1" customWidth="1"/>
    <col min="37" max="37" width="20.42578125" style="494" hidden="1" customWidth="1"/>
    <col min="38" max="38" width="14.42578125" style="494" hidden="1" customWidth="1"/>
    <col min="39" max="39" width="19.85546875" hidden="1" customWidth="1"/>
    <col min="40" max="43" width="14.42578125" hidden="1" customWidth="1"/>
    <col min="44" max="44" width="12.140625" style="494" hidden="1" customWidth="1"/>
    <col min="45" max="45" width="10.42578125" hidden="1" customWidth="1"/>
    <col min="46" max="49" width="14.42578125" hidden="1" customWidth="1"/>
    <col min="50" max="50" width="6.42578125" hidden="1" customWidth="1"/>
    <col min="51" max="52" width="14.42578125" hidden="1" customWidth="1"/>
    <col min="53" max="53" width="14.42578125" customWidth="1"/>
  </cols>
  <sheetData>
    <row r="1" spans="1:24" ht="42.75" customHeight="1" thickBot="1">
      <c r="A1" s="1"/>
      <c r="B1" s="715" t="s">
        <v>0</v>
      </c>
      <c r="C1" s="721"/>
      <c r="D1" s="721"/>
      <c r="E1" s="721"/>
      <c r="F1" s="716"/>
      <c r="G1" s="716"/>
      <c r="H1" s="722"/>
      <c r="I1" s="716"/>
      <c r="J1" s="716"/>
      <c r="K1" s="716"/>
      <c r="L1" s="716"/>
      <c r="M1" s="716"/>
      <c r="N1" s="716"/>
      <c r="O1" s="717"/>
      <c r="P1" s="715"/>
      <c r="Q1" s="716"/>
      <c r="R1" s="716"/>
      <c r="S1" s="716"/>
      <c r="T1" s="716"/>
      <c r="U1" s="717"/>
      <c r="V1" s="2"/>
      <c r="W1" s="2"/>
      <c r="X1" s="2"/>
    </row>
    <row r="2" spans="1:24">
      <c r="A2" s="3"/>
      <c r="B2" s="4"/>
      <c r="C2" s="4"/>
      <c r="D2" s="4"/>
      <c r="E2" s="4"/>
      <c r="F2" s="4"/>
      <c r="G2" s="4"/>
      <c r="H2" s="4"/>
      <c r="I2" s="4"/>
      <c r="J2" s="3"/>
      <c r="K2" s="3"/>
      <c r="L2" s="3"/>
      <c r="M2" s="3"/>
      <c r="N2" s="3"/>
      <c r="O2" s="3"/>
      <c r="P2" s="4"/>
      <c r="Q2" s="4"/>
      <c r="R2" s="4"/>
      <c r="S2" s="4"/>
      <c r="T2" s="4"/>
      <c r="U2" s="4"/>
      <c r="V2" s="2"/>
      <c r="W2" s="2"/>
      <c r="X2" s="2"/>
    </row>
    <row r="3" spans="1:24" ht="15.75" thickBot="1">
      <c r="A3" s="6"/>
      <c r="B3" s="7" t="s">
        <v>3</v>
      </c>
      <c r="C3" s="7"/>
      <c r="D3" s="7"/>
      <c r="E3" s="718" t="s">
        <v>4</v>
      </c>
      <c r="F3" s="719"/>
      <c r="G3" s="720"/>
      <c r="H3" s="368"/>
      <c r="I3" s="6"/>
      <c r="J3" s="11" t="s">
        <v>6</v>
      </c>
      <c r="K3" s="374"/>
      <c r="L3" s="374"/>
      <c r="M3" s="374"/>
      <c r="N3" s="9"/>
      <c r="O3" s="9"/>
      <c r="P3" s="6"/>
      <c r="Q3" s="6"/>
      <c r="R3" s="439"/>
      <c r="S3" s="439"/>
      <c r="T3" s="439"/>
      <c r="U3" s="439"/>
      <c r="V3" s="2"/>
      <c r="W3" s="2"/>
      <c r="X3" s="2"/>
    </row>
    <row r="4" spans="1:24" ht="15" customHeight="1" thickBot="1">
      <c r="A4" s="10"/>
      <c r="B4" s="681" t="s">
        <v>1117</v>
      </c>
      <c r="C4" s="682"/>
      <c r="D4" s="25"/>
      <c r="E4" s="642" t="s">
        <v>942</v>
      </c>
      <c r="F4" s="643"/>
      <c r="G4" s="643"/>
      <c r="H4" s="437"/>
      <c r="I4" s="434"/>
      <c r="J4" s="661" t="s">
        <v>29</v>
      </c>
      <c r="K4" s="662"/>
      <c r="L4" s="662"/>
      <c r="M4" s="662"/>
      <c r="N4" s="663"/>
      <c r="O4" s="663"/>
      <c r="P4" s="664"/>
      <c r="Q4" s="573"/>
      <c r="R4" s="581" t="s">
        <v>1064</v>
      </c>
      <c r="S4" s="582"/>
      <c r="T4" s="582"/>
      <c r="U4" s="583"/>
      <c r="V4" s="2"/>
      <c r="W4" s="2"/>
      <c r="X4" s="2"/>
    </row>
    <row r="5" spans="1:24" ht="14.45" customHeight="1">
      <c r="A5" s="4"/>
      <c r="B5" s="683"/>
      <c r="C5" s="684"/>
      <c r="D5" s="25"/>
      <c r="E5" s="27" t="s">
        <v>15</v>
      </c>
      <c r="F5" s="328" t="s">
        <v>1108</v>
      </c>
      <c r="G5" s="27"/>
      <c r="H5" s="378"/>
      <c r="I5" s="25"/>
      <c r="J5" s="669" t="s">
        <v>70</v>
      </c>
      <c r="K5" s="670"/>
      <c r="L5" s="766" t="s">
        <v>74</v>
      </c>
      <c r="M5" s="766"/>
      <c r="N5" s="767"/>
      <c r="O5" s="34">
        <f>'2 - Community'!F32</f>
        <v>4482.5925925925931</v>
      </c>
      <c r="P5" s="35" t="s">
        <v>1058</v>
      </c>
      <c r="Q5" s="575"/>
      <c r="R5" s="579"/>
      <c r="S5" s="580"/>
      <c r="T5" s="579"/>
      <c r="U5" s="579"/>
      <c r="V5" s="2"/>
      <c r="W5" s="2"/>
      <c r="X5" s="2"/>
    </row>
    <row r="6" spans="1:24" ht="15.75" thickBot="1">
      <c r="A6" s="4"/>
      <c r="B6" s="683"/>
      <c r="C6" s="684"/>
      <c r="D6" s="25"/>
      <c r="E6" s="27" t="s">
        <v>23</v>
      </c>
      <c r="F6" s="328" t="s">
        <v>923</v>
      </c>
      <c r="G6" s="27"/>
      <c r="H6" s="378"/>
      <c r="I6" s="25"/>
      <c r="J6" s="671"/>
      <c r="K6" s="672"/>
      <c r="L6" s="768" t="s">
        <v>74</v>
      </c>
      <c r="M6" s="768"/>
      <c r="N6" s="769"/>
      <c r="O6" s="34">
        <f>O5*Introduction!F15</f>
        <v>291368.51851851854</v>
      </c>
      <c r="P6" s="38" t="s">
        <v>1059</v>
      </c>
      <c r="Q6" s="575"/>
      <c r="R6" s="588" t="s">
        <v>121</v>
      </c>
      <c r="S6" s="578"/>
      <c r="T6" s="588" t="s">
        <v>308</v>
      </c>
      <c r="U6" s="577"/>
      <c r="V6" s="2"/>
      <c r="W6" s="2"/>
      <c r="X6" s="2"/>
    </row>
    <row r="7" spans="1:24" s="539" customFormat="1" ht="15.75" thickBot="1">
      <c r="A7" s="4"/>
      <c r="B7" s="683"/>
      <c r="C7" s="684"/>
      <c r="D7" s="25"/>
      <c r="E7" s="378" t="s">
        <v>1050</v>
      </c>
      <c r="F7" s="564" t="s">
        <v>1054</v>
      </c>
      <c r="G7" s="378"/>
      <c r="H7" s="378"/>
      <c r="I7" s="25"/>
      <c r="J7" s="770" t="s">
        <v>121</v>
      </c>
      <c r="K7" s="771"/>
      <c r="L7" s="776" t="s">
        <v>124</v>
      </c>
      <c r="M7" s="776"/>
      <c r="N7" s="777"/>
      <c r="O7" s="48">
        <f>SUM(Introduction!AQ59:AQ98)</f>
        <v>14.6</v>
      </c>
      <c r="P7" s="35" t="s">
        <v>130</v>
      </c>
      <c r="Q7" s="379"/>
      <c r="R7" s="606"/>
      <c r="S7" s="584" t="s">
        <v>130</v>
      </c>
      <c r="T7" s="585"/>
      <c r="U7" s="586"/>
      <c r="V7" s="2"/>
      <c r="W7" s="2"/>
      <c r="X7" s="2"/>
    </row>
    <row r="8" spans="1:24">
      <c r="A8" s="4"/>
      <c r="B8" s="683"/>
      <c r="C8" s="684"/>
      <c r="D8" s="25"/>
      <c r="E8" s="27" t="s">
        <v>44</v>
      </c>
      <c r="F8" s="329" t="s">
        <v>924</v>
      </c>
      <c r="G8" s="27"/>
      <c r="H8" s="378"/>
      <c r="I8" s="25"/>
      <c r="J8" s="772"/>
      <c r="K8" s="773"/>
      <c r="L8" s="778" t="s">
        <v>162</v>
      </c>
      <c r="M8" s="778"/>
      <c r="N8" s="779"/>
      <c r="O8" s="34">
        <f>O7*Introduction!F12</f>
        <v>357700</v>
      </c>
      <c r="P8" s="35" t="s">
        <v>163</v>
      </c>
      <c r="Q8" s="379"/>
      <c r="R8" s="579"/>
      <c r="S8" s="580"/>
      <c r="T8" s="579"/>
      <c r="U8" s="579"/>
      <c r="V8" s="2"/>
      <c r="W8" s="2"/>
      <c r="X8" s="2"/>
    </row>
    <row r="9" spans="1:24" ht="15.75" thickBot="1">
      <c r="A9" s="4"/>
      <c r="B9" s="683"/>
      <c r="C9" s="684"/>
      <c r="D9" s="25"/>
      <c r="E9" s="27" t="s">
        <v>51</v>
      </c>
      <c r="F9" s="329" t="s">
        <v>52</v>
      </c>
      <c r="G9" s="27"/>
      <c r="H9" s="378"/>
      <c r="I9" s="25"/>
      <c r="J9" s="774"/>
      <c r="K9" s="775"/>
      <c r="L9" s="780" t="s">
        <v>164</v>
      </c>
      <c r="M9" s="780"/>
      <c r="N9" s="781"/>
      <c r="O9" s="34">
        <f>O8/Introduction!F15</f>
        <v>5503.0769230769229</v>
      </c>
      <c r="P9" s="38" t="s">
        <v>165</v>
      </c>
      <c r="Q9" s="379"/>
      <c r="R9" s="588" t="s">
        <v>166</v>
      </c>
      <c r="S9" s="578"/>
      <c r="T9" s="588" t="s">
        <v>308</v>
      </c>
      <c r="U9" s="577"/>
      <c r="V9" s="2"/>
      <c r="W9" s="2"/>
      <c r="X9" s="2"/>
    </row>
    <row r="10" spans="1:24" ht="15.75" thickBot="1">
      <c r="A10" s="4"/>
      <c r="B10" s="683"/>
      <c r="C10" s="684"/>
      <c r="D10" s="25"/>
      <c r="E10" s="27" t="s">
        <v>58</v>
      </c>
      <c r="F10" s="329">
        <v>78215</v>
      </c>
      <c r="G10" s="27"/>
      <c r="H10" s="378"/>
      <c r="I10" s="25"/>
      <c r="J10" s="667" t="s">
        <v>166</v>
      </c>
      <c r="K10" s="668"/>
      <c r="L10" s="673" t="s">
        <v>167</v>
      </c>
      <c r="M10" s="673"/>
      <c r="N10" s="674"/>
      <c r="O10" s="51">
        <f>SUM(Introduction!AP59:AP98)</f>
        <v>90</v>
      </c>
      <c r="P10" s="35" t="s">
        <v>168</v>
      </c>
      <c r="Q10" s="379"/>
      <c r="R10" s="606"/>
      <c r="S10" s="584" t="s">
        <v>168</v>
      </c>
      <c r="T10" s="585"/>
      <c r="U10" s="586"/>
      <c r="V10" s="2"/>
      <c r="W10" s="2"/>
      <c r="X10" s="2"/>
    </row>
    <row r="11" spans="1:24">
      <c r="A11" s="4"/>
      <c r="B11" s="683"/>
      <c r="C11" s="684"/>
      <c r="D11" s="25"/>
      <c r="E11" s="27" t="s">
        <v>937</v>
      </c>
      <c r="F11" s="329" t="s">
        <v>938</v>
      </c>
      <c r="G11" s="541" t="s">
        <v>1011</v>
      </c>
      <c r="H11" s="378"/>
      <c r="I11" s="25"/>
      <c r="J11" s="669"/>
      <c r="K11" s="670"/>
      <c r="L11" s="782" t="s">
        <v>172</v>
      </c>
      <c r="M11" s="782"/>
      <c r="N11" s="783"/>
      <c r="O11" s="34">
        <f>O10*Introduction!F12</f>
        <v>2205000</v>
      </c>
      <c r="P11" s="35" t="s">
        <v>176</v>
      </c>
      <c r="Q11" s="379"/>
      <c r="R11" s="579"/>
      <c r="S11" s="580"/>
      <c r="T11" s="579"/>
      <c r="U11" s="579"/>
      <c r="V11" s="2"/>
      <c r="W11" s="2"/>
      <c r="X11" s="2"/>
    </row>
    <row r="12" spans="1:24" ht="15.75" thickBot="1">
      <c r="A12" s="4"/>
      <c r="B12" s="683"/>
      <c r="C12" s="684"/>
      <c r="D12" s="25"/>
      <c r="E12" s="27" t="s">
        <v>1010</v>
      </c>
      <c r="F12" s="330">
        <v>24500</v>
      </c>
      <c r="G12" s="30" t="s">
        <v>61</v>
      </c>
      <c r="H12" s="392"/>
      <c r="I12" s="25"/>
      <c r="J12" s="671"/>
      <c r="K12" s="672"/>
      <c r="L12" s="784" t="s">
        <v>184</v>
      </c>
      <c r="M12" s="784"/>
      <c r="N12" s="785"/>
      <c r="O12" s="34">
        <f>O11/Introduction!F15</f>
        <v>33923.076923076922</v>
      </c>
      <c r="P12" s="38" t="s">
        <v>186</v>
      </c>
      <c r="Q12" s="379"/>
      <c r="R12" s="588" t="s">
        <v>193</v>
      </c>
      <c r="S12" s="578"/>
      <c r="T12" s="588" t="s">
        <v>308</v>
      </c>
      <c r="U12" s="577"/>
      <c r="V12" s="2"/>
      <c r="W12" s="2"/>
      <c r="X12" s="2"/>
    </row>
    <row r="13" spans="1:24" ht="16.5" thickBot="1">
      <c r="A13" s="4"/>
      <c r="B13" s="683"/>
      <c r="C13" s="684"/>
      <c r="D13" s="25"/>
      <c r="E13" s="27" t="s">
        <v>1068</v>
      </c>
      <c r="F13" s="371">
        <v>27262</v>
      </c>
      <c r="G13" s="30" t="s">
        <v>64</v>
      </c>
      <c r="H13" s="392"/>
      <c r="I13" s="25"/>
      <c r="J13" s="667" t="s">
        <v>193</v>
      </c>
      <c r="K13" s="668"/>
      <c r="L13" s="786" t="s">
        <v>194</v>
      </c>
      <c r="M13" s="786"/>
      <c r="N13" s="787"/>
      <c r="O13" s="51">
        <f>SUM(Introduction!AO59:AO98)</f>
        <v>25.874346216855763</v>
      </c>
      <c r="P13" s="35" t="s">
        <v>1060</v>
      </c>
      <c r="Q13" s="379"/>
      <c r="R13" s="606"/>
      <c r="S13" s="584" t="s">
        <v>1060</v>
      </c>
      <c r="T13" s="585"/>
      <c r="U13" s="586"/>
      <c r="V13" s="576"/>
      <c r="W13" s="2"/>
      <c r="X13" s="2"/>
    </row>
    <row r="14" spans="1:24" ht="14.45" customHeight="1">
      <c r="A14" s="4"/>
      <c r="B14" s="683"/>
      <c r="C14" s="684"/>
      <c r="D14" s="25"/>
      <c r="E14" s="378" t="s">
        <v>1069</v>
      </c>
      <c r="F14" s="565">
        <v>14000</v>
      </c>
      <c r="G14" s="538" t="s">
        <v>64</v>
      </c>
      <c r="H14" s="538"/>
      <c r="I14" s="25"/>
      <c r="J14" s="669"/>
      <c r="K14" s="670"/>
      <c r="L14" s="788" t="s">
        <v>194</v>
      </c>
      <c r="M14" s="788"/>
      <c r="N14" s="789"/>
      <c r="O14" s="34">
        <f>O13*Introduction!F12</f>
        <v>633921.48231296614</v>
      </c>
      <c r="P14" s="35" t="s">
        <v>1059</v>
      </c>
      <c r="Q14" s="379"/>
      <c r="R14" s="579"/>
      <c r="S14" s="580"/>
      <c r="T14" s="579"/>
      <c r="U14" s="579"/>
      <c r="V14" s="576"/>
      <c r="W14" s="2"/>
      <c r="X14" s="2"/>
    </row>
    <row r="15" spans="1:24" ht="16.5" thickBot="1">
      <c r="A15" s="4"/>
      <c r="B15" s="683"/>
      <c r="C15" s="684"/>
      <c r="D15" s="25"/>
      <c r="E15" s="27" t="s">
        <v>1070</v>
      </c>
      <c r="F15" s="372">
        <v>65</v>
      </c>
      <c r="G15" s="30" t="s">
        <v>66</v>
      </c>
      <c r="H15" s="392"/>
      <c r="I15" s="25"/>
      <c r="J15" s="671"/>
      <c r="K15" s="672"/>
      <c r="L15" s="727" t="s">
        <v>199</v>
      </c>
      <c r="M15" s="727"/>
      <c r="N15" s="728"/>
      <c r="O15" s="58">
        <f>O14/Introduction!F15</f>
        <v>9752.6381894302485</v>
      </c>
      <c r="P15" s="35" t="s">
        <v>1058</v>
      </c>
      <c r="Q15" s="379"/>
      <c r="R15" s="588" t="s">
        <v>149</v>
      </c>
      <c r="S15" s="578"/>
      <c r="T15" s="588" t="s">
        <v>308</v>
      </c>
      <c r="U15" s="577"/>
      <c r="V15" s="576"/>
      <c r="W15" s="2"/>
      <c r="X15" s="2"/>
    </row>
    <row r="16" spans="1:24" ht="16.5" thickBot="1">
      <c r="A16" s="4"/>
      <c r="B16" s="683"/>
      <c r="C16" s="684"/>
      <c r="D16" s="25"/>
      <c r="E16" s="27" t="s">
        <v>1071</v>
      </c>
      <c r="F16" s="372">
        <v>100</v>
      </c>
      <c r="G16" s="30" t="s">
        <v>66</v>
      </c>
      <c r="H16" s="392"/>
      <c r="I16" s="25"/>
      <c r="J16" s="659" t="s">
        <v>1067</v>
      </c>
      <c r="K16" s="660"/>
      <c r="L16" s="725" t="s">
        <v>1066</v>
      </c>
      <c r="M16" s="725"/>
      <c r="N16" s="726"/>
      <c r="O16" s="59">
        <f>SUM(AS59:AS99)</f>
        <v>1</v>
      </c>
      <c r="P16" s="60" t="s">
        <v>201</v>
      </c>
      <c r="Q16" s="379"/>
      <c r="R16" s="606"/>
      <c r="S16" s="587" t="s">
        <v>201</v>
      </c>
      <c r="T16" s="585"/>
      <c r="U16" s="586"/>
      <c r="V16" s="576"/>
      <c r="W16" s="2"/>
      <c r="X16" s="2"/>
    </row>
    <row r="17" spans="1:57" ht="15.75">
      <c r="A17" s="4"/>
      <c r="B17" s="683"/>
      <c r="C17" s="684"/>
      <c r="D17" s="25"/>
      <c r="E17" s="27" t="s">
        <v>1072</v>
      </c>
      <c r="F17" s="372">
        <v>70</v>
      </c>
      <c r="G17" s="30" t="s">
        <v>66</v>
      </c>
      <c r="H17" s="431"/>
      <c r="I17" s="25"/>
      <c r="J17" s="61"/>
      <c r="K17" s="376"/>
      <c r="L17" s="376"/>
      <c r="M17" s="376"/>
      <c r="N17" s="61"/>
      <c r="O17" s="61"/>
      <c r="P17" s="61"/>
      <c r="Q17" s="4"/>
      <c r="R17" s="380"/>
      <c r="S17" s="574"/>
      <c r="T17" s="380"/>
      <c r="U17" s="380"/>
      <c r="V17" s="2"/>
      <c r="W17" s="2"/>
      <c r="X17" s="2"/>
    </row>
    <row r="18" spans="1:57" ht="15.75" thickBot="1">
      <c r="A18" s="4"/>
      <c r="B18" s="683"/>
      <c r="C18" s="684"/>
      <c r="D18" s="25"/>
      <c r="E18" s="27" t="s">
        <v>1012</v>
      </c>
      <c r="F18" s="329">
        <v>2013</v>
      </c>
      <c r="G18" s="30"/>
      <c r="H18" s="392"/>
      <c r="I18" s="25"/>
      <c r="J18" s="62" t="s">
        <v>208</v>
      </c>
      <c r="K18" s="377"/>
      <c r="L18" s="377"/>
      <c r="M18" s="377"/>
      <c r="N18" s="20"/>
      <c r="O18" s="20"/>
      <c r="P18" s="20"/>
      <c r="Q18" s="4"/>
      <c r="R18" s="4"/>
      <c r="S18" s="380"/>
      <c r="T18" s="4"/>
      <c r="U18" s="4"/>
      <c r="V18" s="2"/>
      <c r="W18" s="2"/>
      <c r="X18" s="2"/>
    </row>
    <row r="19" spans="1:57" ht="15.75">
      <c r="A19" s="4"/>
      <c r="B19" s="683"/>
      <c r="C19" s="684"/>
      <c r="D19" s="25"/>
      <c r="E19" s="27" t="s">
        <v>1073</v>
      </c>
      <c r="F19" s="329">
        <v>365</v>
      </c>
      <c r="G19" s="30" t="s">
        <v>76</v>
      </c>
      <c r="H19" s="431"/>
      <c r="I19" s="25"/>
      <c r="J19" s="381" t="s">
        <v>212</v>
      </c>
      <c r="K19" s="382"/>
      <c r="L19" s="382"/>
      <c r="M19" s="382"/>
      <c r="N19" s="383"/>
      <c r="O19" s="383"/>
      <c r="P19" s="384"/>
      <c r="Q19" s="4"/>
      <c r="R19" s="729" t="s">
        <v>1107</v>
      </c>
      <c r="S19" s="730"/>
      <c r="T19" s="730"/>
      <c r="U19" s="731"/>
      <c r="V19" s="2"/>
      <c r="W19" s="2"/>
      <c r="X19" s="2"/>
    </row>
    <row r="20" spans="1:57" ht="15.75">
      <c r="A20" s="4"/>
      <c r="B20" s="683"/>
      <c r="C20" s="684"/>
      <c r="D20" s="25"/>
      <c r="E20" s="27" t="s">
        <v>1074</v>
      </c>
      <c r="F20" s="329">
        <v>10</v>
      </c>
      <c r="G20" s="30" t="s">
        <v>78</v>
      </c>
      <c r="H20" s="431"/>
      <c r="I20" s="25"/>
      <c r="J20" s="385" t="s">
        <v>216</v>
      </c>
      <c r="K20" s="378"/>
      <c r="L20" s="378"/>
      <c r="M20" s="378"/>
      <c r="N20" s="63" t="str">
        <f>IF(AA99=100%,300*365,"")</f>
        <v/>
      </c>
      <c r="O20" s="309" t="s">
        <v>1055</v>
      </c>
      <c r="P20" s="386"/>
      <c r="Q20" s="369"/>
      <c r="R20" s="732"/>
      <c r="S20" s="733"/>
      <c r="T20" s="733"/>
      <c r="U20" s="734"/>
      <c r="V20" s="2"/>
      <c r="W20" s="2"/>
      <c r="X20" s="2"/>
    </row>
    <row r="21" spans="1:57">
      <c r="A21" s="4"/>
      <c r="B21" s="683"/>
      <c r="C21" s="684"/>
      <c r="D21" s="25"/>
      <c r="E21" s="27" t="s">
        <v>81</v>
      </c>
      <c r="F21" s="331">
        <v>1800000</v>
      </c>
      <c r="G21" s="30" t="s">
        <v>82</v>
      </c>
      <c r="H21" s="431"/>
      <c r="I21" s="25"/>
      <c r="J21" s="385" t="s">
        <v>218</v>
      </c>
      <c r="K21" s="378"/>
      <c r="L21" s="378"/>
      <c r="M21" s="378"/>
      <c r="N21" s="63" t="str">
        <f>IF(AA114&gt;0,AA114,"")</f>
        <v/>
      </c>
      <c r="O21" s="309" t="s">
        <v>219</v>
      </c>
      <c r="P21" s="386"/>
      <c r="Q21" s="369"/>
      <c r="R21" s="732"/>
      <c r="S21" s="733"/>
      <c r="T21" s="733"/>
      <c r="U21" s="734"/>
      <c r="V21" s="2"/>
      <c r="W21" s="2"/>
      <c r="X21" s="2"/>
    </row>
    <row r="22" spans="1:57" ht="15.75" customHeight="1" thickBot="1">
      <c r="A22" s="4"/>
      <c r="B22" s="685"/>
      <c r="C22" s="686"/>
      <c r="D22" s="25"/>
      <c r="E22" s="30"/>
      <c r="F22" s="30"/>
      <c r="G22" s="30"/>
      <c r="H22" s="431"/>
      <c r="I22" s="379"/>
      <c r="J22" s="387" t="s">
        <v>223</v>
      </c>
      <c r="K22" s="388"/>
      <c r="L22" s="388"/>
      <c r="M22" s="388"/>
      <c r="N22" s="389" t="str">
        <f>IF(AA123&gt;0,AA123,"")</f>
        <v/>
      </c>
      <c r="O22" s="390" t="s">
        <v>1061</v>
      </c>
      <c r="P22" s="391"/>
      <c r="Q22" s="369"/>
      <c r="R22" s="735"/>
      <c r="S22" s="736"/>
      <c r="T22" s="736"/>
      <c r="U22" s="737"/>
      <c r="V22" s="2"/>
      <c r="W22" s="2"/>
      <c r="X22" s="2"/>
    </row>
    <row r="23" spans="1:57" ht="15.75" customHeight="1" thickBot="1">
      <c r="A23" s="4"/>
      <c r="C23" s="568"/>
      <c r="D23" s="25"/>
      <c r="E23" s="438"/>
      <c r="F23" s="438"/>
      <c r="G23" s="438"/>
      <c r="H23" s="438"/>
      <c r="I23" s="434"/>
      <c r="J23" s="574"/>
      <c r="K23" s="574"/>
      <c r="L23" s="574"/>
      <c r="M23" s="574"/>
      <c r="N23" s="574"/>
      <c r="O23" s="574"/>
      <c r="P23" s="574"/>
      <c r="Q23" s="369"/>
      <c r="R23" s="4"/>
      <c r="S23" s="4"/>
      <c r="T23" s="4"/>
      <c r="U23" s="4"/>
      <c r="V23" s="2"/>
      <c r="W23" s="2"/>
      <c r="X23" s="2"/>
    </row>
    <row r="24" spans="1:57" ht="15.75" customHeight="1" thickBot="1">
      <c r="A24" s="4"/>
      <c r="B24" s="429" t="s">
        <v>7</v>
      </c>
      <c r="C24" s="430"/>
      <c r="D24" s="25"/>
      <c r="E24" s="435" t="s">
        <v>943</v>
      </c>
      <c r="F24" s="436"/>
      <c r="G24" s="436"/>
      <c r="H24" s="437"/>
      <c r="I24" s="601"/>
      <c r="J24" s="738" t="s">
        <v>1116</v>
      </c>
      <c r="K24" s="739"/>
      <c r="L24" s="739"/>
      <c r="M24" s="739"/>
      <c r="N24" s="739"/>
      <c r="O24" s="739"/>
      <c r="P24" s="740"/>
      <c r="Q24" s="369"/>
      <c r="R24" s="4"/>
      <c r="S24" s="4"/>
      <c r="T24" s="4"/>
      <c r="U24" s="4"/>
      <c r="V24" s="2"/>
      <c r="W24" s="2"/>
      <c r="X24" s="2"/>
    </row>
    <row r="25" spans="1:57" ht="15.75" customHeight="1">
      <c r="A25" s="4"/>
      <c r="B25" s="419" t="s">
        <v>40</v>
      </c>
      <c r="C25" s="420"/>
      <c r="D25" s="25"/>
      <c r="E25" s="30"/>
      <c r="F25" s="30"/>
      <c r="G25" s="30" t="s">
        <v>144</v>
      </c>
      <c r="H25" s="431"/>
      <c r="I25" s="601"/>
      <c r="J25" s="741"/>
      <c r="K25" s="742"/>
      <c r="L25" s="742"/>
      <c r="M25" s="742"/>
      <c r="N25" s="742"/>
      <c r="O25" s="742"/>
      <c r="P25" s="743"/>
      <c r="Q25" s="603"/>
      <c r="R25" s="4"/>
      <c r="S25" s="4"/>
      <c r="T25" s="4"/>
      <c r="U25" s="4"/>
      <c r="V25" s="2"/>
      <c r="W25" s="2"/>
      <c r="X25" s="2"/>
      <c r="AZ25" s="446"/>
      <c r="BA25" s="446"/>
      <c r="BB25" s="446"/>
      <c r="BC25" s="446"/>
      <c r="BD25" s="446"/>
      <c r="BE25" s="446"/>
    </row>
    <row r="26" spans="1:57" ht="15.75" customHeight="1">
      <c r="A26" s="4"/>
      <c r="B26" s="421"/>
      <c r="C26" s="421"/>
      <c r="D26" s="25"/>
      <c r="E26" s="27" t="s">
        <v>940</v>
      </c>
      <c r="F26" s="540" t="s">
        <v>170</v>
      </c>
      <c r="G26" s="370">
        <v>1</v>
      </c>
      <c r="H26" s="431"/>
      <c r="I26" s="379"/>
      <c r="J26" s="604"/>
      <c r="K26" s="604"/>
      <c r="L26" s="604"/>
      <c r="M26" s="604"/>
      <c r="N26" s="604"/>
      <c r="O26" s="604"/>
      <c r="P26" s="604"/>
      <c r="Q26" s="605"/>
      <c r="R26" s="369"/>
      <c r="S26" s="4"/>
      <c r="T26" s="4"/>
      <c r="U26" s="4"/>
      <c r="V26" s="2"/>
      <c r="W26" s="2"/>
      <c r="X26" s="2"/>
      <c r="AZ26" s="446"/>
      <c r="BA26" s="446"/>
      <c r="BB26" s="446"/>
      <c r="BC26" s="446"/>
      <c r="BD26" s="446"/>
      <c r="BE26" s="446"/>
    </row>
    <row r="27" spans="1:57" ht="15.75" customHeight="1">
      <c r="A27" s="4"/>
      <c r="B27" s="422" t="s">
        <v>57</v>
      </c>
      <c r="C27" s="423"/>
      <c r="D27" s="25"/>
      <c r="E27" s="27" t="s">
        <v>941</v>
      </c>
      <c r="F27" s="540"/>
      <c r="G27" s="370">
        <v>0</v>
      </c>
      <c r="H27" s="431"/>
      <c r="I27" s="379"/>
      <c r="J27" s="604"/>
      <c r="K27" s="604"/>
      <c r="L27" s="604"/>
      <c r="M27" s="604"/>
      <c r="N27" s="604"/>
      <c r="O27" s="604"/>
      <c r="P27" s="604"/>
      <c r="Q27" s="605"/>
      <c r="R27" s="369"/>
      <c r="S27" s="4"/>
      <c r="T27" s="4"/>
      <c r="U27" s="4"/>
      <c r="V27" s="2"/>
      <c r="W27" s="2"/>
      <c r="X27" s="2"/>
      <c r="AZ27" s="446"/>
      <c r="BA27" s="446"/>
      <c r="BB27" s="446"/>
      <c r="BC27" s="446"/>
      <c r="BD27" s="446"/>
      <c r="BE27" s="446"/>
    </row>
    <row r="28" spans="1:57" ht="15.75" customHeight="1">
      <c r="A28" s="4"/>
      <c r="B28" s="424"/>
      <c r="C28" s="424"/>
      <c r="D28" s="25"/>
      <c r="E28" s="27" t="s">
        <v>939</v>
      </c>
      <c r="F28" s="540"/>
      <c r="G28" s="370">
        <v>0</v>
      </c>
      <c r="H28" s="431"/>
      <c r="I28" s="379"/>
      <c r="J28" s="604"/>
      <c r="K28" s="604"/>
      <c r="L28" s="604"/>
      <c r="M28" s="604"/>
      <c r="N28" s="604"/>
      <c r="O28" s="604"/>
      <c r="P28" s="604"/>
      <c r="Q28" s="605"/>
      <c r="R28" s="369"/>
      <c r="S28" s="4"/>
      <c r="T28" s="4"/>
      <c r="U28" s="4"/>
      <c r="V28" s="2"/>
      <c r="W28" s="2"/>
      <c r="X28" s="2"/>
      <c r="AZ28" s="446"/>
      <c r="BA28" s="446"/>
      <c r="BB28" s="446"/>
      <c r="BC28" s="446"/>
      <c r="BD28" s="446"/>
      <c r="BE28" s="446"/>
    </row>
    <row r="29" spans="1:57" ht="15.75" customHeight="1">
      <c r="A29" s="4"/>
      <c r="B29" s="425" t="s">
        <v>62</v>
      </c>
      <c r="C29" s="426"/>
      <c r="D29" s="25"/>
      <c r="E29" s="30"/>
      <c r="F29" s="373" t="s">
        <v>944</v>
      </c>
      <c r="G29" s="125">
        <f>SUM(G26:G28)</f>
        <v>1</v>
      </c>
      <c r="H29" s="431"/>
      <c r="I29" s="379"/>
      <c r="J29" s="604"/>
      <c r="K29" s="604"/>
      <c r="L29" s="604"/>
      <c r="M29" s="604"/>
      <c r="N29" s="604"/>
      <c r="O29" s="604"/>
      <c r="P29" s="604"/>
      <c r="Q29" s="605"/>
      <c r="R29" s="369"/>
      <c r="S29" s="4"/>
      <c r="T29" s="4"/>
      <c r="U29" s="4"/>
      <c r="V29" s="2"/>
      <c r="W29" s="2"/>
      <c r="X29" s="2"/>
      <c r="AZ29" s="446"/>
      <c r="BA29" s="446"/>
      <c r="BB29" s="446"/>
      <c r="BC29" s="446"/>
      <c r="BD29" s="446"/>
      <c r="BE29" s="446"/>
    </row>
    <row r="30" spans="1:57" ht="15.75" customHeight="1" thickBot="1">
      <c r="A30" s="4"/>
      <c r="B30" s="427"/>
      <c r="C30" s="427"/>
      <c r="D30" s="25"/>
      <c r="E30" s="439"/>
      <c r="F30" s="439"/>
      <c r="G30" s="439"/>
      <c r="H30" s="439"/>
      <c r="I30" s="602"/>
      <c r="J30" s="605"/>
      <c r="K30" s="605"/>
      <c r="L30" s="605"/>
      <c r="M30" s="605"/>
      <c r="N30" s="605"/>
      <c r="O30" s="605"/>
      <c r="P30" s="605"/>
      <c r="Q30" s="605"/>
      <c r="R30" s="369"/>
      <c r="S30" s="4"/>
      <c r="T30" s="4"/>
      <c r="U30" s="4"/>
      <c r="V30" s="2"/>
      <c r="W30" s="2"/>
      <c r="X30" s="2"/>
      <c r="AZ30" s="446"/>
      <c r="BA30" s="446"/>
      <c r="BB30" s="446"/>
      <c r="BC30" s="446"/>
      <c r="BD30" s="446"/>
      <c r="BE30" s="446"/>
    </row>
    <row r="31" spans="1:57" ht="15.75" customHeight="1" thickBot="1">
      <c r="A31" s="12"/>
      <c r="B31" s="566" t="s">
        <v>3</v>
      </c>
      <c r="C31" s="567"/>
      <c r="D31" s="25"/>
      <c r="E31" s="435" t="s">
        <v>1075</v>
      </c>
      <c r="F31" s="436"/>
      <c r="G31" s="436"/>
      <c r="H31" s="437"/>
      <c r="I31" s="4"/>
      <c r="J31" s="380"/>
      <c r="K31" s="380"/>
      <c r="L31" s="380"/>
      <c r="M31" s="380"/>
      <c r="N31" s="380"/>
      <c r="O31" s="380"/>
      <c r="P31" s="380"/>
      <c r="Q31" s="380"/>
      <c r="R31" s="4"/>
      <c r="S31" s="4"/>
      <c r="T31" s="4"/>
      <c r="U31" s="4"/>
      <c r="V31" s="2"/>
      <c r="W31" s="2"/>
      <c r="X31" s="2"/>
      <c r="AZ31" s="446"/>
      <c r="BA31" s="446"/>
      <c r="BB31" s="446"/>
      <c r="BC31" s="446"/>
      <c r="BD31" s="446"/>
      <c r="BE31" s="446"/>
    </row>
    <row r="32" spans="1:57" ht="15.75" customHeight="1">
      <c r="A32" s="379"/>
      <c r="B32" s="421"/>
      <c r="C32" s="421"/>
      <c r="D32" s="25"/>
      <c r="E32" s="27" t="s">
        <v>83</v>
      </c>
      <c r="F32" s="329" t="s">
        <v>925</v>
      </c>
      <c r="G32" s="27"/>
      <c r="H32" s="378"/>
      <c r="I32" s="4"/>
      <c r="J32" s="4"/>
      <c r="K32" s="4"/>
      <c r="L32" s="609"/>
      <c r="M32" s="4"/>
      <c r="N32" s="4"/>
      <c r="O32" s="4"/>
      <c r="P32" s="4"/>
      <c r="Q32" s="4"/>
      <c r="R32" s="4"/>
      <c r="S32" s="4"/>
      <c r="T32" s="4"/>
      <c r="U32" s="4"/>
      <c r="V32" s="2"/>
      <c r="W32" s="2"/>
      <c r="X32" s="2"/>
      <c r="AZ32" s="446"/>
      <c r="BA32" s="446"/>
      <c r="BB32" s="446"/>
      <c r="BC32" s="446"/>
      <c r="BD32" s="446"/>
      <c r="BE32" s="446"/>
    </row>
    <row r="33" spans="1:57" ht="15.75" customHeight="1">
      <c r="A33" s="4"/>
      <c r="B33" s="428" t="s">
        <v>72</v>
      </c>
      <c r="C33" s="428"/>
      <c r="D33" s="25"/>
      <c r="E33" s="27" t="s">
        <v>86</v>
      </c>
      <c r="F33" s="329" t="s">
        <v>89</v>
      </c>
      <c r="G33" s="27"/>
      <c r="H33" s="378"/>
      <c r="I33" s="4"/>
      <c r="J33" s="4"/>
      <c r="K33" s="4"/>
      <c r="L33" s="4"/>
      <c r="M33" s="4"/>
      <c r="N33" s="4"/>
      <c r="O33" s="4"/>
      <c r="P33" s="4"/>
      <c r="Q33" s="4"/>
      <c r="R33" s="4"/>
      <c r="S33" s="4"/>
      <c r="T33" s="4"/>
      <c r="U33" s="4"/>
      <c r="V33" s="2"/>
      <c r="W33" s="2"/>
      <c r="X33" s="2"/>
      <c r="AZ33" s="446"/>
      <c r="BA33" s="446"/>
      <c r="BB33" s="446"/>
      <c r="BC33" s="446"/>
      <c r="BD33" s="446"/>
      <c r="BE33" s="446"/>
    </row>
    <row r="34" spans="1:57" ht="15.75" customHeight="1">
      <c r="A34" s="4"/>
      <c r="C34" s="568"/>
      <c r="D34" s="25"/>
      <c r="E34" s="27" t="s">
        <v>1076</v>
      </c>
      <c r="F34" s="329" t="s">
        <v>90</v>
      </c>
      <c r="G34" s="27"/>
      <c r="H34" s="378"/>
      <c r="I34" s="4"/>
      <c r="J34" s="4"/>
      <c r="K34" s="4"/>
      <c r="L34" s="4"/>
      <c r="M34" s="4"/>
      <c r="N34" s="4"/>
      <c r="O34" s="4"/>
      <c r="P34" s="4"/>
      <c r="Q34" s="4"/>
      <c r="R34" s="4"/>
      <c r="S34" s="4"/>
      <c r="T34" s="4"/>
      <c r="U34" s="4"/>
      <c r="V34" s="2"/>
      <c r="W34" s="2"/>
      <c r="X34" s="2"/>
      <c r="AZ34" s="446"/>
      <c r="BA34" s="446"/>
      <c r="BB34" s="446"/>
      <c r="BC34" s="446"/>
      <c r="BD34" s="446"/>
      <c r="BE34" s="446"/>
    </row>
    <row r="35" spans="1:57" ht="15.75" customHeight="1">
      <c r="A35" s="4"/>
      <c r="B35" s="439"/>
      <c r="C35" s="439"/>
      <c r="D35" s="25"/>
      <c r="E35" s="27" t="s">
        <v>1077</v>
      </c>
      <c r="F35" s="329" t="s">
        <v>90</v>
      </c>
      <c r="G35" s="27"/>
      <c r="H35" s="378"/>
      <c r="I35" s="4"/>
      <c r="J35" s="4"/>
      <c r="K35" s="4"/>
      <c r="L35" s="4"/>
      <c r="M35" s="4"/>
      <c r="N35" s="4"/>
      <c r="O35" s="4"/>
      <c r="P35" s="4"/>
      <c r="Q35" s="4"/>
      <c r="R35" s="4"/>
      <c r="S35" s="4"/>
      <c r="T35" s="4"/>
      <c r="U35" s="4"/>
      <c r="V35" s="2"/>
      <c r="W35" s="2"/>
      <c r="X35" s="2"/>
      <c r="AZ35" s="446"/>
      <c r="BA35" s="446"/>
      <c r="BB35" s="446"/>
      <c r="BC35" s="446"/>
      <c r="BD35" s="446"/>
      <c r="BE35" s="446"/>
    </row>
    <row r="36" spans="1:57" ht="15.75" customHeight="1">
      <c r="A36" s="379"/>
      <c r="B36" s="594" t="s">
        <v>1083</v>
      </c>
      <c r="C36" s="595"/>
      <c r="D36" s="434"/>
      <c r="E36" s="27" t="s">
        <v>1078</v>
      </c>
      <c r="F36" s="329" t="s">
        <v>90</v>
      </c>
      <c r="G36" s="27"/>
      <c r="H36" s="378"/>
      <c r="I36" s="4"/>
      <c r="J36" s="4"/>
      <c r="K36" s="4"/>
      <c r="L36" s="4"/>
      <c r="M36" s="4"/>
      <c r="N36" s="4"/>
      <c r="O36" s="4"/>
      <c r="P36" s="4"/>
      <c r="Q36" s="4"/>
      <c r="R36" s="4"/>
      <c r="S36" s="4"/>
      <c r="T36" s="4"/>
      <c r="U36" s="4"/>
      <c r="V36" s="2"/>
      <c r="W36" s="2"/>
      <c r="X36" s="2"/>
      <c r="AZ36" s="446"/>
      <c r="BA36" s="446"/>
      <c r="BB36" s="446"/>
      <c r="BC36" s="446"/>
      <c r="BD36" s="446"/>
      <c r="BE36" s="446"/>
    </row>
    <row r="37" spans="1:57" ht="15.75" customHeight="1">
      <c r="A37" s="379"/>
      <c r="B37" s="723" t="s">
        <v>1082</v>
      </c>
      <c r="C37" s="724"/>
      <c r="D37" s="434"/>
      <c r="E37" s="27" t="s">
        <v>93</v>
      </c>
      <c r="F37" s="332" t="s">
        <v>94</v>
      </c>
      <c r="G37" s="27"/>
      <c r="H37" s="378"/>
      <c r="I37" s="4"/>
      <c r="J37" s="4"/>
      <c r="K37" s="4"/>
      <c r="L37" s="4"/>
      <c r="M37" s="4"/>
      <c r="N37" s="4"/>
      <c r="O37" s="4"/>
      <c r="P37" s="4"/>
      <c r="Q37" s="4"/>
      <c r="R37" s="4"/>
      <c r="S37" s="4"/>
      <c r="T37" s="4"/>
      <c r="U37" s="4"/>
      <c r="V37" s="2"/>
      <c r="W37" s="2"/>
      <c r="X37" s="2"/>
      <c r="AZ37" s="446"/>
      <c r="BA37" s="446"/>
      <c r="BB37" s="446"/>
      <c r="BC37" s="446"/>
      <c r="BD37" s="446"/>
      <c r="BE37" s="446"/>
    </row>
    <row r="38" spans="1:57" ht="15.75" customHeight="1">
      <c r="A38" s="379"/>
      <c r="B38" s="679"/>
      <c r="C38" s="680"/>
      <c r="D38" s="434"/>
      <c r="E38" s="27" t="s">
        <v>95</v>
      </c>
      <c r="F38" s="31">
        <f>F12/F13</f>
        <v>0.89868681681461371</v>
      </c>
      <c r="G38" s="27"/>
      <c r="H38" s="378"/>
      <c r="I38" s="4"/>
      <c r="J38" s="4"/>
      <c r="K38" s="4"/>
      <c r="L38" s="4"/>
      <c r="M38" s="4"/>
      <c r="N38" s="4"/>
      <c r="O38" s="4"/>
      <c r="P38" s="4"/>
      <c r="Q38" s="4"/>
      <c r="R38" s="4"/>
      <c r="S38" s="4"/>
      <c r="T38" s="4"/>
      <c r="U38" s="4"/>
      <c r="V38" s="2"/>
      <c r="W38" s="2"/>
      <c r="X38" s="2"/>
      <c r="AZ38" s="446"/>
      <c r="BA38" s="446"/>
      <c r="BB38" s="446"/>
      <c r="BC38" s="446"/>
      <c r="BD38" s="446"/>
      <c r="BE38" s="446"/>
    </row>
    <row r="39" spans="1:57" ht="15.75" customHeight="1">
      <c r="A39" s="379"/>
      <c r="B39" s="675" t="s">
        <v>1081</v>
      </c>
      <c r="C39" s="676"/>
      <c r="D39" s="434"/>
      <c r="E39" s="27" t="s">
        <v>1005</v>
      </c>
      <c r="F39" s="613">
        <f>F21/F12</f>
        <v>73.469387755102048</v>
      </c>
      <c r="G39" s="27"/>
      <c r="H39" s="378"/>
      <c r="I39" s="4"/>
      <c r="J39" s="4"/>
      <c r="K39" s="4"/>
      <c r="L39" s="4"/>
      <c r="M39" s="4"/>
      <c r="N39" s="4"/>
      <c r="O39" s="4"/>
      <c r="P39" s="4"/>
      <c r="Q39" s="4"/>
      <c r="R39" s="4"/>
      <c r="S39" s="4"/>
      <c r="T39" s="4"/>
      <c r="U39" s="4"/>
      <c r="V39" s="2"/>
      <c r="W39" s="2"/>
      <c r="X39" s="2"/>
    </row>
    <row r="40" spans="1:57" ht="15.75" customHeight="1">
      <c r="A40" s="379"/>
      <c r="B40" s="679"/>
      <c r="C40" s="680"/>
      <c r="D40" s="434"/>
      <c r="E40" s="27" t="s">
        <v>1006</v>
      </c>
      <c r="F40" s="134">
        <f>F12/F15</f>
        <v>376.92307692307691</v>
      </c>
      <c r="G40" s="27"/>
      <c r="H40" s="378"/>
      <c r="I40" s="4"/>
      <c r="J40" s="4"/>
      <c r="K40" s="4"/>
      <c r="L40" s="4"/>
      <c r="M40" s="4"/>
      <c r="N40" s="4"/>
      <c r="O40" s="4"/>
      <c r="P40" s="4"/>
      <c r="Q40" s="4"/>
      <c r="R40" s="4"/>
      <c r="S40" s="4"/>
      <c r="T40" s="4"/>
      <c r="U40" s="4"/>
      <c r="V40" s="2"/>
      <c r="W40" s="2"/>
      <c r="X40" s="2"/>
    </row>
    <row r="41" spans="1:57" ht="15.75" customHeight="1">
      <c r="A41" s="379"/>
      <c r="B41" s="675" t="s">
        <v>1104</v>
      </c>
      <c r="C41" s="676"/>
      <c r="D41" s="434"/>
      <c r="E41" s="27" t="s">
        <v>1007</v>
      </c>
      <c r="F41" s="134">
        <f>F12/F16</f>
        <v>245</v>
      </c>
      <c r="G41" s="27"/>
      <c r="H41" s="378"/>
      <c r="I41" s="4"/>
      <c r="J41" s="4"/>
      <c r="K41" s="4"/>
      <c r="L41" s="4"/>
      <c r="M41" s="4"/>
      <c r="N41" s="4"/>
      <c r="O41" s="4"/>
      <c r="P41" s="4"/>
      <c r="Q41" s="4"/>
      <c r="R41" s="4"/>
      <c r="S41" s="4"/>
      <c r="T41" s="4"/>
      <c r="U41" s="4"/>
      <c r="V41" s="2"/>
      <c r="W41" s="2"/>
      <c r="X41" s="2"/>
    </row>
    <row r="42" spans="1:57" ht="15.75" customHeight="1">
      <c r="A42" s="379"/>
      <c r="B42" s="679"/>
      <c r="C42" s="680"/>
      <c r="D42" s="434"/>
      <c r="E42" s="27" t="s">
        <v>1013</v>
      </c>
      <c r="F42" s="134">
        <f>F19*F20</f>
        <v>3650</v>
      </c>
      <c r="G42" s="27"/>
      <c r="H42" s="378"/>
      <c r="I42" s="4"/>
      <c r="J42" s="4"/>
      <c r="K42" s="4"/>
      <c r="L42" s="4"/>
      <c r="M42" s="4"/>
      <c r="N42" s="4"/>
      <c r="O42" s="4"/>
      <c r="P42" s="4"/>
      <c r="Q42" s="4"/>
      <c r="R42" s="4"/>
      <c r="S42" s="4"/>
      <c r="T42" s="4"/>
      <c r="U42" s="4"/>
      <c r="V42" s="2"/>
      <c r="W42" s="2"/>
      <c r="X42" s="2"/>
    </row>
    <row r="43" spans="1:57" ht="15.75" customHeight="1">
      <c r="A43" s="308"/>
      <c r="B43" s="675" t="s">
        <v>1105</v>
      </c>
      <c r="C43" s="676"/>
      <c r="D43" s="369"/>
      <c r="E43" s="27"/>
      <c r="F43" s="27"/>
      <c r="G43" s="27"/>
      <c r="H43" s="378"/>
      <c r="I43" s="4"/>
      <c r="J43" s="4"/>
      <c r="K43" s="4"/>
      <c r="L43" s="4"/>
      <c r="M43" s="4"/>
      <c r="N43" s="4"/>
      <c r="O43" s="4"/>
      <c r="P43" s="4"/>
      <c r="Q43" s="4"/>
      <c r="R43" s="4"/>
      <c r="S43" s="4"/>
      <c r="T43" s="4"/>
      <c r="U43" s="4"/>
      <c r="V43" s="2"/>
      <c r="W43" s="2"/>
      <c r="X43" s="2"/>
    </row>
    <row r="44" spans="1:57" ht="15.75" customHeight="1">
      <c r="A44" s="308"/>
      <c r="B44" s="677"/>
      <c r="C44" s="678"/>
      <c r="D44" s="369"/>
      <c r="E44" s="27"/>
      <c r="F44" s="27"/>
      <c r="G44" s="27"/>
      <c r="H44" s="378"/>
      <c r="I44" s="4"/>
      <c r="J44" s="4"/>
      <c r="K44" s="4"/>
      <c r="L44" s="4"/>
      <c r="M44" s="4"/>
      <c r="N44" s="4"/>
      <c r="O44" s="4"/>
      <c r="P44" s="4"/>
      <c r="Q44" s="4"/>
      <c r="R44" s="4"/>
      <c r="S44" s="4"/>
      <c r="T44" s="4"/>
      <c r="U44" s="4"/>
      <c r="V44" s="2"/>
      <c r="W44" s="2"/>
      <c r="X44" s="2"/>
    </row>
    <row r="45" spans="1:57" ht="15.75" customHeight="1">
      <c r="A45" s="20"/>
      <c r="B45" s="380"/>
      <c r="C45" s="380"/>
      <c r="D45" s="4"/>
      <c r="E45" s="4"/>
      <c r="F45" s="4"/>
      <c r="G45" s="4"/>
      <c r="H45" s="4"/>
      <c r="I45" s="4"/>
      <c r="J45" s="4"/>
      <c r="K45" s="4"/>
      <c r="L45" s="4"/>
      <c r="M45" s="4"/>
      <c r="N45" s="4"/>
      <c r="O45" s="4"/>
      <c r="P45" s="4"/>
      <c r="Q45" s="4"/>
      <c r="R45" s="4"/>
      <c r="S45" s="4"/>
      <c r="T45" s="4"/>
      <c r="U45" s="4"/>
      <c r="V45" s="2"/>
      <c r="W45" s="2"/>
      <c r="X45" s="2"/>
    </row>
    <row r="46" spans="1:57" ht="15.75" customHeight="1">
      <c r="A46" s="20"/>
      <c r="B46" s="4"/>
      <c r="C46" s="4"/>
      <c r="D46" s="4"/>
      <c r="E46" s="4"/>
      <c r="F46" s="4"/>
      <c r="G46" s="4"/>
      <c r="H46" s="4"/>
      <c r="I46" s="4"/>
      <c r="J46" s="4"/>
      <c r="K46" s="4"/>
      <c r="L46" s="4"/>
      <c r="M46" s="4"/>
      <c r="N46" s="4"/>
      <c r="O46" s="4"/>
      <c r="P46" s="4"/>
      <c r="Q46" s="4"/>
      <c r="R46" s="4"/>
      <c r="S46" s="4"/>
      <c r="T46" s="4"/>
      <c r="U46" s="4"/>
      <c r="V46" s="2"/>
      <c r="W46" s="2"/>
      <c r="X46" s="2"/>
    </row>
    <row r="47" spans="1:57" ht="15.75" customHeight="1">
      <c r="A47" s="20"/>
      <c r="B47" s="4"/>
      <c r="C47" s="4"/>
      <c r="D47" s="4"/>
      <c r="E47" s="4"/>
      <c r="F47" s="4"/>
      <c r="G47" s="4"/>
      <c r="H47" s="4"/>
      <c r="I47" s="4"/>
      <c r="J47" s="4"/>
      <c r="K47" s="4"/>
      <c r="L47" s="4"/>
      <c r="M47" s="4"/>
      <c r="N47" s="4"/>
      <c r="O47" s="4"/>
      <c r="P47" s="4"/>
      <c r="Q47" s="4"/>
      <c r="R47" s="4"/>
      <c r="S47" s="4"/>
      <c r="T47" s="4"/>
      <c r="U47" s="4"/>
      <c r="V47" s="2"/>
      <c r="W47" s="2"/>
      <c r="X47" s="2"/>
    </row>
    <row r="48" spans="1:57" ht="15.75" customHeight="1">
      <c r="A48" s="20"/>
      <c r="B48" s="4"/>
      <c r="C48" s="4"/>
      <c r="D48" s="25"/>
      <c r="E48" s="4"/>
      <c r="F48" s="4"/>
      <c r="G48" s="4"/>
      <c r="H48" s="4"/>
      <c r="I48" s="4"/>
      <c r="J48" s="4"/>
      <c r="K48" s="4"/>
      <c r="L48" s="4"/>
      <c r="M48" s="4"/>
      <c r="N48" s="4"/>
      <c r="O48" s="4"/>
      <c r="P48" s="4"/>
      <c r="Q48" s="4"/>
      <c r="R48" s="4"/>
      <c r="S48" s="4"/>
      <c r="T48" s="4"/>
      <c r="U48" s="4"/>
      <c r="V48" s="2"/>
      <c r="W48" s="2"/>
      <c r="X48" s="2"/>
    </row>
    <row r="49" spans="1:51" ht="15.75" customHeight="1">
      <c r="A49" s="20"/>
      <c r="B49" s="4"/>
      <c r="C49" s="4"/>
      <c r="D49" s="25"/>
      <c r="E49" s="4"/>
      <c r="F49" s="4"/>
      <c r="G49" s="4"/>
      <c r="H49" s="4"/>
      <c r="I49" s="4"/>
      <c r="J49" s="4"/>
      <c r="K49" s="4"/>
      <c r="L49" s="4"/>
      <c r="M49" s="4"/>
      <c r="N49" s="4"/>
      <c r="O49" s="4"/>
      <c r="P49" s="4"/>
      <c r="Q49" s="4"/>
      <c r="R49" s="4"/>
      <c r="S49" s="4"/>
      <c r="T49" s="4"/>
      <c r="U49" s="4"/>
      <c r="V49" s="2"/>
      <c r="W49" s="2"/>
      <c r="X49" s="2"/>
    </row>
    <row r="50" spans="1:51" ht="15.75" customHeight="1">
      <c r="A50" s="20"/>
      <c r="B50" s="4"/>
      <c r="C50" s="4"/>
      <c r="D50" s="4"/>
      <c r="E50" s="4"/>
      <c r="F50" s="4"/>
      <c r="G50" s="4"/>
      <c r="H50" s="4"/>
      <c r="I50" s="4"/>
      <c r="J50" s="4"/>
      <c r="K50" s="4"/>
      <c r="L50" s="4"/>
      <c r="M50" s="4"/>
      <c r="N50" s="4"/>
      <c r="O50" s="4"/>
      <c r="P50" s="4"/>
      <c r="Q50" s="4"/>
      <c r="R50" s="4"/>
      <c r="S50" s="4"/>
      <c r="T50" s="4"/>
      <c r="U50" s="4"/>
      <c r="V50" s="2"/>
      <c r="W50" s="2"/>
      <c r="X50" s="2"/>
    </row>
    <row r="51" spans="1:51" ht="15.75" customHeight="1" thickBot="1">
      <c r="A51" s="20"/>
      <c r="B51" s="4"/>
      <c r="C51" s="4"/>
      <c r="D51" s="4"/>
      <c r="E51" s="4"/>
      <c r="F51" s="4"/>
      <c r="G51" s="4"/>
      <c r="H51" s="4"/>
      <c r="I51" s="4"/>
      <c r="J51" s="4"/>
      <c r="K51" s="4"/>
      <c r="L51" s="4"/>
      <c r="M51" s="4"/>
      <c r="N51" s="4"/>
      <c r="O51" s="4"/>
      <c r="P51" s="4"/>
      <c r="Q51" s="4"/>
      <c r="R51" s="4"/>
      <c r="S51" s="4"/>
      <c r="T51" s="4"/>
      <c r="U51" s="4"/>
      <c r="V51" s="2"/>
      <c r="W51" s="2"/>
      <c r="X51" s="2"/>
      <c r="AV51" s="440" t="s">
        <v>1001</v>
      </c>
      <c r="AW51" s="440" t="s">
        <v>37</v>
      </c>
      <c r="AX51" s="440" t="s">
        <v>1008</v>
      </c>
      <c r="AY51" s="440" t="s">
        <v>1009</v>
      </c>
    </row>
    <row r="52" spans="1:51" ht="15.75" customHeight="1">
      <c r="A52" s="20"/>
      <c r="B52" s="4"/>
      <c r="C52" s="4"/>
      <c r="D52" s="4"/>
      <c r="E52" s="4"/>
      <c r="F52" s="4"/>
      <c r="G52" s="4"/>
      <c r="H52" s="4"/>
      <c r="I52" s="4"/>
      <c r="J52" s="4"/>
      <c r="K52" s="4"/>
      <c r="L52" s="4"/>
      <c r="M52" s="4"/>
      <c r="N52" s="4"/>
      <c r="O52" s="4"/>
      <c r="P52" s="4"/>
      <c r="Q52" s="4"/>
      <c r="R52" s="4"/>
      <c r="S52" s="4"/>
      <c r="T52" s="4"/>
      <c r="U52" s="4"/>
      <c r="V52" s="2"/>
      <c r="W52" s="2"/>
      <c r="X52" s="754" t="s">
        <v>24</v>
      </c>
      <c r="Y52" s="755"/>
      <c r="Z52" s="756"/>
      <c r="AA52" s="495"/>
      <c r="AB52" s="694" t="s">
        <v>25</v>
      </c>
      <c r="AC52" s="631"/>
      <c r="AD52" s="633"/>
      <c r="AE52" s="700" t="s">
        <v>26</v>
      </c>
      <c r="AF52" s="701"/>
      <c r="AG52" s="701"/>
      <c r="AH52" s="701"/>
      <c r="AI52" s="701"/>
      <c r="AJ52" s="702"/>
      <c r="AK52" s="792" t="s">
        <v>1024</v>
      </c>
      <c r="AL52" s="793"/>
      <c r="AM52" s="694" t="s">
        <v>27</v>
      </c>
      <c r="AN52" s="633"/>
      <c r="AO52" s="630" t="s">
        <v>28</v>
      </c>
      <c r="AP52" s="631"/>
      <c r="AQ52" s="631"/>
      <c r="AR52" s="632"/>
      <c r="AS52" s="633"/>
      <c r="AT52" s="4"/>
      <c r="AU52" s="4"/>
      <c r="AV52" s="445" t="s">
        <v>953</v>
      </c>
      <c r="AW52" s="441" t="s">
        <v>71</v>
      </c>
      <c r="AX52" s="442">
        <f>_xlfn.IFS(AW52="South",4,AW52="West",2,AW52="Northeast",1,AW52="Midwest",3)</f>
        <v>4</v>
      </c>
      <c r="AY52" s="442">
        <f>IF($F$9=AV52,AX52,0)</f>
        <v>0</v>
      </c>
    </row>
    <row r="53" spans="1:51" ht="15.75" customHeight="1">
      <c r="A53" s="20"/>
      <c r="B53" s="4"/>
      <c r="C53" s="4"/>
      <c r="D53" s="4"/>
      <c r="E53" s="4"/>
      <c r="F53" s="4"/>
      <c r="G53" s="4"/>
      <c r="H53" s="4"/>
      <c r="I53" s="4"/>
      <c r="J53" s="4"/>
      <c r="K53" s="4"/>
      <c r="L53" s="4"/>
      <c r="M53" s="4"/>
      <c r="N53" s="4"/>
      <c r="O53" s="4"/>
      <c r="P53" s="4"/>
      <c r="Q53" s="4"/>
      <c r="R53" s="4"/>
      <c r="S53" s="4"/>
      <c r="T53" s="4"/>
      <c r="U53" s="4"/>
      <c r="V53" s="2"/>
      <c r="W53" s="2"/>
      <c r="X53" s="757"/>
      <c r="Y53" s="758"/>
      <c r="Z53" s="759"/>
      <c r="AA53" s="496"/>
      <c r="AB53" s="695"/>
      <c r="AC53" s="635"/>
      <c r="AD53" s="636"/>
      <c r="AE53" s="703" t="s">
        <v>45</v>
      </c>
      <c r="AF53" s="704"/>
      <c r="AG53" s="704"/>
      <c r="AH53" s="704"/>
      <c r="AI53" s="704"/>
      <c r="AJ53" s="705"/>
      <c r="AK53" s="794"/>
      <c r="AL53" s="795"/>
      <c r="AM53" s="695"/>
      <c r="AN53" s="636"/>
      <c r="AO53" s="634"/>
      <c r="AP53" s="635"/>
      <c r="AQ53" s="635"/>
      <c r="AR53" s="635"/>
      <c r="AS53" s="636"/>
      <c r="AT53" s="4"/>
      <c r="AU53" s="4"/>
      <c r="AV53" s="445" t="s">
        <v>954</v>
      </c>
      <c r="AW53" s="441" t="s">
        <v>1002</v>
      </c>
      <c r="AX53" s="442">
        <f t="shared" ref="AX53:AX101" si="0">_xlfn.IFS(AW53="South",4,AW53="West",2,AW53="Northeast",1,AW53="Midwest",3)</f>
        <v>2</v>
      </c>
      <c r="AY53" s="442">
        <f t="shared" ref="AY53:AY101" si="1">IF($F$9=AV53,AX53,0)</f>
        <v>0</v>
      </c>
    </row>
    <row r="54" spans="1:51" ht="15.75" customHeight="1">
      <c r="A54" s="20"/>
      <c r="B54" s="4"/>
      <c r="C54" s="4"/>
      <c r="D54" s="4"/>
      <c r="E54" s="4"/>
      <c r="F54" s="4"/>
      <c r="G54" s="4"/>
      <c r="H54" s="4"/>
      <c r="I54" s="4"/>
      <c r="J54" s="4"/>
      <c r="K54" s="4"/>
      <c r="L54" s="4"/>
      <c r="M54" s="4"/>
      <c r="N54" s="4"/>
      <c r="O54" s="4"/>
      <c r="P54" s="4"/>
      <c r="Q54" s="4"/>
      <c r="R54" s="4"/>
      <c r="S54" s="4"/>
      <c r="T54" s="4"/>
      <c r="U54" s="4"/>
      <c r="V54" s="2"/>
      <c r="W54" s="2"/>
      <c r="X54" s="757"/>
      <c r="Y54" s="758"/>
      <c r="Z54" s="759"/>
      <c r="AA54" s="496"/>
      <c r="AB54" s="695"/>
      <c r="AC54" s="635"/>
      <c r="AD54" s="636"/>
      <c r="AE54" s="706"/>
      <c r="AF54" s="707"/>
      <c r="AG54" s="707"/>
      <c r="AH54" s="707"/>
      <c r="AI54" s="707"/>
      <c r="AJ54" s="708"/>
      <c r="AK54" s="794"/>
      <c r="AL54" s="795"/>
      <c r="AM54" s="695"/>
      <c r="AN54" s="636"/>
      <c r="AO54" s="634"/>
      <c r="AP54" s="635"/>
      <c r="AQ54" s="635"/>
      <c r="AR54" s="635"/>
      <c r="AS54" s="636"/>
      <c r="AT54" s="4"/>
      <c r="AU54" s="4"/>
      <c r="AV54" s="445" t="s">
        <v>955</v>
      </c>
      <c r="AW54" s="441" t="s">
        <v>1002</v>
      </c>
      <c r="AX54" s="442">
        <f t="shared" si="0"/>
        <v>2</v>
      </c>
      <c r="AY54" s="442">
        <f t="shared" si="1"/>
        <v>0</v>
      </c>
    </row>
    <row r="55" spans="1:51" ht="15.75" customHeight="1" thickBot="1">
      <c r="A55" s="20"/>
      <c r="B55" s="4"/>
      <c r="C55" s="4"/>
      <c r="D55" s="4"/>
      <c r="E55" s="4"/>
      <c r="F55" s="4"/>
      <c r="G55" s="4"/>
      <c r="H55" s="4"/>
      <c r="I55" s="4"/>
      <c r="J55" s="4"/>
      <c r="K55" s="4"/>
      <c r="L55" s="4"/>
      <c r="M55" s="4"/>
      <c r="N55" s="4"/>
      <c r="O55" s="4"/>
      <c r="P55" s="4"/>
      <c r="Q55" s="4"/>
      <c r="R55" s="4"/>
      <c r="S55" s="4"/>
      <c r="T55" s="4"/>
      <c r="U55" s="4"/>
      <c r="V55" s="2"/>
      <c r="W55" s="2"/>
      <c r="X55" s="760"/>
      <c r="Y55" s="761"/>
      <c r="Z55" s="762"/>
      <c r="AA55" s="497"/>
      <c r="AB55" s="696"/>
      <c r="AC55" s="697"/>
      <c r="AD55" s="698"/>
      <c r="AE55" s="498"/>
      <c r="AF55" s="463">
        <f>'Reference Information'!P7</f>
        <v>0.35835777126099705</v>
      </c>
      <c r="AG55" s="463">
        <f>'Reference Information'!P10</f>
        <v>0.12081317599999998</v>
      </c>
      <c r="AH55" s="463">
        <f>'Reference Information'!P13</f>
        <v>0.1606474820143885</v>
      </c>
      <c r="AI55" s="463">
        <f>AG55</f>
        <v>0.12081317599999998</v>
      </c>
      <c r="AJ55" s="499"/>
      <c r="AK55" s="796"/>
      <c r="AL55" s="797"/>
      <c r="AM55" s="696"/>
      <c r="AN55" s="698"/>
      <c r="AO55" s="637"/>
      <c r="AP55" s="637"/>
      <c r="AQ55" s="637"/>
      <c r="AR55" s="637"/>
      <c r="AS55" s="638"/>
      <c r="AT55" s="4"/>
      <c r="AU55" s="4"/>
      <c r="AV55" s="445" t="s">
        <v>956</v>
      </c>
      <c r="AW55" s="441" t="s">
        <v>71</v>
      </c>
      <c r="AX55" s="442">
        <f t="shared" si="0"/>
        <v>4</v>
      </c>
      <c r="AY55" s="442">
        <f t="shared" si="1"/>
        <v>0</v>
      </c>
    </row>
    <row r="56" spans="1:51" ht="15.75" customHeight="1">
      <c r="A56" s="20"/>
      <c r="B56" s="4"/>
      <c r="C56" s="4"/>
      <c r="D56" s="4"/>
      <c r="E56" s="4"/>
      <c r="F56" s="4"/>
      <c r="G56" s="4"/>
      <c r="H56" s="4"/>
      <c r="I56" s="4"/>
      <c r="J56" s="4"/>
      <c r="K56" s="4"/>
      <c r="L56" s="4"/>
      <c r="M56" s="4"/>
      <c r="N56" s="4"/>
      <c r="O56" s="4"/>
      <c r="P56" s="4"/>
      <c r="Q56" s="4"/>
      <c r="R56" s="4"/>
      <c r="S56" s="4"/>
      <c r="T56" s="4"/>
      <c r="U56" s="4"/>
      <c r="V56" s="2"/>
      <c r="W56" s="2"/>
      <c r="X56" s="665" t="s">
        <v>945</v>
      </c>
      <c r="Y56" s="665" t="s">
        <v>946</v>
      </c>
      <c r="Z56" s="665" t="s">
        <v>947</v>
      </c>
      <c r="AA56" s="665" t="s">
        <v>948</v>
      </c>
      <c r="AB56" s="699" t="s">
        <v>24</v>
      </c>
      <c r="AC56" s="644" t="s">
        <v>148</v>
      </c>
      <c r="AD56" s="647" t="s">
        <v>149</v>
      </c>
      <c r="AE56" s="691" t="s">
        <v>150</v>
      </c>
      <c r="AF56" s="650" t="s">
        <v>151</v>
      </c>
      <c r="AG56" s="650" t="s">
        <v>152</v>
      </c>
      <c r="AH56" s="650" t="s">
        <v>153</v>
      </c>
      <c r="AI56" s="650" t="s">
        <v>154</v>
      </c>
      <c r="AJ56" s="658" t="s">
        <v>155</v>
      </c>
      <c r="AK56" s="709" t="s">
        <v>1025</v>
      </c>
      <c r="AL56" s="712" t="s">
        <v>1026</v>
      </c>
      <c r="AM56" s="687" t="s">
        <v>156</v>
      </c>
      <c r="AN56" s="790" t="s">
        <v>157</v>
      </c>
      <c r="AO56" s="653" t="s">
        <v>158</v>
      </c>
      <c r="AP56" s="656" t="s">
        <v>159</v>
      </c>
      <c r="AQ56" s="656" t="s">
        <v>160</v>
      </c>
      <c r="AR56" s="763" t="s">
        <v>1028</v>
      </c>
      <c r="AS56" s="639" t="s">
        <v>161</v>
      </c>
      <c r="AT56" s="369"/>
      <c r="AU56" s="4"/>
      <c r="AV56" s="445" t="s">
        <v>957</v>
      </c>
      <c r="AW56" s="441" t="s">
        <v>1002</v>
      </c>
      <c r="AX56" s="442">
        <f t="shared" si="0"/>
        <v>2</v>
      </c>
      <c r="AY56" s="442">
        <f t="shared" si="1"/>
        <v>0</v>
      </c>
    </row>
    <row r="57" spans="1:51" ht="15.75" customHeight="1">
      <c r="A57" s="20"/>
      <c r="B57" s="4"/>
      <c r="C57" s="4"/>
      <c r="D57" s="4"/>
      <c r="E57" s="4"/>
      <c r="F57" s="4"/>
      <c r="G57" s="4"/>
      <c r="H57" s="4"/>
      <c r="I57" s="4"/>
      <c r="J57" s="4"/>
      <c r="K57" s="4"/>
      <c r="L57" s="4"/>
      <c r="M57" s="4"/>
      <c r="N57" s="4"/>
      <c r="O57" s="4"/>
      <c r="P57" s="4"/>
      <c r="Q57" s="4"/>
      <c r="R57" s="4"/>
      <c r="S57" s="4"/>
      <c r="T57" s="4"/>
      <c r="U57" s="4"/>
      <c r="V57" s="2"/>
      <c r="W57" s="2"/>
      <c r="X57" s="690"/>
      <c r="Y57" s="666"/>
      <c r="Z57" s="666"/>
      <c r="AA57" s="666"/>
      <c r="AB57" s="688"/>
      <c r="AC57" s="645"/>
      <c r="AD57" s="648"/>
      <c r="AE57" s="692"/>
      <c r="AF57" s="651"/>
      <c r="AG57" s="651"/>
      <c r="AH57" s="651"/>
      <c r="AI57" s="651"/>
      <c r="AJ57" s="645"/>
      <c r="AK57" s="710"/>
      <c r="AL57" s="713"/>
      <c r="AM57" s="688"/>
      <c r="AN57" s="637"/>
      <c r="AO57" s="654"/>
      <c r="AP57" s="651"/>
      <c r="AQ57" s="651"/>
      <c r="AR57" s="764"/>
      <c r="AS57" s="640"/>
      <c r="AT57" s="369"/>
      <c r="AU57" s="4"/>
      <c r="AV57" s="445" t="s">
        <v>581</v>
      </c>
      <c r="AW57" s="441" t="s">
        <v>1002</v>
      </c>
      <c r="AX57" s="442">
        <f t="shared" si="0"/>
        <v>2</v>
      </c>
      <c r="AY57" s="442">
        <f t="shared" si="1"/>
        <v>0</v>
      </c>
    </row>
    <row r="58" spans="1:51" ht="15.75" customHeight="1" thickBot="1">
      <c r="A58" s="20"/>
      <c r="B58" s="4"/>
      <c r="C58" s="4"/>
      <c r="D58" s="4"/>
      <c r="E58" s="4"/>
      <c r="F58" s="4"/>
      <c r="G58" s="4"/>
      <c r="H58" s="4"/>
      <c r="I58" s="4"/>
      <c r="J58" s="4"/>
      <c r="K58" s="4"/>
      <c r="L58" s="4"/>
      <c r="M58" s="4"/>
      <c r="N58" s="4"/>
      <c r="O58" s="4"/>
      <c r="P58" s="4"/>
      <c r="Q58" s="4"/>
      <c r="R58" s="4"/>
      <c r="S58" s="4"/>
      <c r="T58" s="4"/>
      <c r="U58" s="4"/>
      <c r="V58" s="2"/>
      <c r="W58" s="2"/>
      <c r="X58" s="690"/>
      <c r="Y58" s="666"/>
      <c r="Z58" s="666"/>
      <c r="AA58" s="666"/>
      <c r="AB58" s="689"/>
      <c r="AC58" s="646"/>
      <c r="AD58" s="649"/>
      <c r="AE58" s="693"/>
      <c r="AF58" s="652"/>
      <c r="AG58" s="652"/>
      <c r="AH58" s="652"/>
      <c r="AI58" s="652"/>
      <c r="AJ58" s="646"/>
      <c r="AK58" s="711"/>
      <c r="AL58" s="714"/>
      <c r="AM58" s="689"/>
      <c r="AN58" s="791"/>
      <c r="AO58" s="655"/>
      <c r="AP58" s="657"/>
      <c r="AQ58" s="657"/>
      <c r="AR58" s="765"/>
      <c r="AS58" s="641"/>
      <c r="AT58" s="369"/>
      <c r="AU58" s="4"/>
      <c r="AV58" s="445" t="s">
        <v>958</v>
      </c>
      <c r="AW58" s="441" t="s">
        <v>1003</v>
      </c>
      <c r="AX58" s="442">
        <f t="shared" si="0"/>
        <v>1</v>
      </c>
      <c r="AY58" s="442">
        <f t="shared" si="1"/>
        <v>0</v>
      </c>
    </row>
    <row r="59" spans="1:51" ht="15.75" customHeight="1">
      <c r="A59" s="20"/>
      <c r="B59" s="4"/>
      <c r="C59" s="4"/>
      <c r="D59" s="4"/>
      <c r="E59" s="4"/>
      <c r="F59" s="4"/>
      <c r="G59" s="4"/>
      <c r="H59" s="4"/>
      <c r="I59" s="4"/>
      <c r="J59" s="4"/>
      <c r="K59" s="4"/>
      <c r="L59" s="4"/>
      <c r="M59" s="4"/>
      <c r="N59" s="4"/>
      <c r="O59" s="4"/>
      <c r="P59" s="4"/>
      <c r="Q59" s="4"/>
      <c r="R59" s="4"/>
      <c r="S59" s="4"/>
      <c r="T59" s="4"/>
      <c r="U59" s="4"/>
      <c r="V59" s="2"/>
      <c r="W59" s="2"/>
      <c r="X59" s="500">
        <f t="shared" ref="X59:X99" si="2">IF($F$26=AB59,$G$26,0)</f>
        <v>0</v>
      </c>
      <c r="Y59" s="501">
        <f t="shared" ref="Y59:Y99" si="3">IF($F$27=AB59,$G$27,0)</f>
        <v>0</v>
      </c>
      <c r="Z59" s="501">
        <f t="shared" ref="Z59:Z99" si="4">IF($F$28=AB59,$G$28,0)</f>
        <v>0</v>
      </c>
      <c r="AA59" s="502">
        <f>SUM(X59:Z59)</f>
        <v>0</v>
      </c>
      <c r="AB59" s="503" t="s">
        <v>169</v>
      </c>
      <c r="AC59" s="504">
        <v>77</v>
      </c>
      <c r="AD59" s="505">
        <v>1</v>
      </c>
      <c r="AE59" s="506" t="s">
        <v>170</v>
      </c>
      <c r="AF59" s="507">
        <v>0.7</v>
      </c>
      <c r="AG59" s="507">
        <v>0.23</v>
      </c>
      <c r="AH59" s="507">
        <v>0.01</v>
      </c>
      <c r="AI59" s="507">
        <v>0.06</v>
      </c>
      <c r="AJ59" s="508">
        <f t="shared" ref="AJ59:AJ98" si="5">(AC59*AF59*$AF$55)+(AC59*AG59*$AG$55)+(AC59*AH59*$AH$55)+(AC59*AI59*$AI$55)</f>
        <v>22.13694065219882</v>
      </c>
      <c r="AK59" s="514" t="s">
        <v>246</v>
      </c>
      <c r="AL59" s="529">
        <v>67</v>
      </c>
      <c r="AM59" s="506" t="s">
        <v>170</v>
      </c>
      <c r="AN59" s="508">
        <v>14.6</v>
      </c>
      <c r="AO59" s="513">
        <f>AJ59*AA59</f>
        <v>0</v>
      </c>
      <c r="AP59" s="514">
        <f>AA59*AC59</f>
        <v>0</v>
      </c>
      <c r="AQ59" s="514">
        <f>AA59*AN59</f>
        <v>0</v>
      </c>
      <c r="AR59" s="514">
        <f>AL59*AA59</f>
        <v>0</v>
      </c>
      <c r="AS59" s="515">
        <f>AA59*AD59</f>
        <v>0</v>
      </c>
      <c r="AT59" s="4"/>
      <c r="AU59" s="4"/>
      <c r="AV59" s="445" t="s">
        <v>959</v>
      </c>
      <c r="AW59" s="441" t="s">
        <v>1003</v>
      </c>
      <c r="AX59" s="442">
        <f t="shared" si="0"/>
        <v>1</v>
      </c>
      <c r="AY59" s="442">
        <f t="shared" si="1"/>
        <v>0</v>
      </c>
    </row>
    <row r="60" spans="1:51" ht="15.75" customHeight="1">
      <c r="A60" s="20"/>
      <c r="B60" s="4"/>
      <c r="C60" s="4"/>
      <c r="D60" s="4"/>
      <c r="E60" s="4"/>
      <c r="F60" s="4"/>
      <c r="G60" s="4"/>
      <c r="H60" s="4"/>
      <c r="I60" s="4"/>
      <c r="J60" s="4"/>
      <c r="K60" s="4"/>
      <c r="L60" s="4"/>
      <c r="M60" s="4"/>
      <c r="N60" s="4"/>
      <c r="O60" s="4"/>
      <c r="P60" s="4"/>
      <c r="Q60" s="4"/>
      <c r="R60" s="4"/>
      <c r="S60" s="4"/>
      <c r="T60" s="4"/>
      <c r="U60" s="4"/>
      <c r="V60" s="2"/>
      <c r="W60" s="2"/>
      <c r="X60" s="509">
        <f t="shared" si="2"/>
        <v>0</v>
      </c>
      <c r="Y60" s="510">
        <f t="shared" si="3"/>
        <v>0</v>
      </c>
      <c r="Z60" s="510">
        <f t="shared" si="4"/>
        <v>0</v>
      </c>
      <c r="AA60" s="511">
        <f t="shared" ref="AA60:AA99" si="6">SUM(X60:Z60)</f>
        <v>0</v>
      </c>
      <c r="AB60" s="503" t="s">
        <v>180</v>
      </c>
      <c r="AC60" s="512">
        <v>52</v>
      </c>
      <c r="AD60" s="508">
        <v>1.2</v>
      </c>
      <c r="AE60" s="506" t="s">
        <v>181</v>
      </c>
      <c r="AF60" s="507">
        <v>0.56999999999999995</v>
      </c>
      <c r="AG60" s="507">
        <v>0.28000000000000003</v>
      </c>
      <c r="AH60" s="507">
        <v>0.01</v>
      </c>
      <c r="AI60" s="507">
        <v>0.13</v>
      </c>
      <c r="AJ60" s="508">
        <f t="shared" si="5"/>
        <v>13.280997943143435</v>
      </c>
      <c r="AK60" s="514" t="s">
        <v>246</v>
      </c>
      <c r="AL60" s="529">
        <v>67</v>
      </c>
      <c r="AM60" s="506" t="s">
        <v>182</v>
      </c>
      <c r="AN60" s="508">
        <v>25.7</v>
      </c>
      <c r="AO60" s="513">
        <f t="shared" ref="AO60:AO98" si="7">AJ60*AA60</f>
        <v>0</v>
      </c>
      <c r="AP60" s="514">
        <f t="shared" ref="AP60:AP98" si="8">AA60*AC60</f>
        <v>0</v>
      </c>
      <c r="AQ60" s="514">
        <f t="shared" ref="AQ60:AQ98" si="9">AA60*AN60</f>
        <v>0</v>
      </c>
      <c r="AR60" s="514">
        <f t="shared" ref="AR60:AR99" si="10">AL60*AA60</f>
        <v>0</v>
      </c>
      <c r="AS60" s="515">
        <f t="shared" ref="AS60:AS98" si="11">AA60*AD60</f>
        <v>0</v>
      </c>
      <c r="AT60" s="4"/>
      <c r="AU60" s="4"/>
      <c r="AV60" s="445" t="s">
        <v>960</v>
      </c>
      <c r="AW60" s="441" t="s">
        <v>71</v>
      </c>
      <c r="AX60" s="442">
        <f t="shared" si="0"/>
        <v>4</v>
      </c>
      <c r="AY60" s="442">
        <f t="shared" si="1"/>
        <v>0</v>
      </c>
    </row>
    <row r="61" spans="1:51" ht="15.75" customHeight="1">
      <c r="A61" s="20"/>
      <c r="B61" s="4"/>
      <c r="C61" s="4"/>
      <c r="D61" s="4"/>
      <c r="E61" s="4"/>
      <c r="F61" s="4"/>
      <c r="G61" s="4"/>
      <c r="H61" s="4"/>
      <c r="I61" s="4"/>
      <c r="J61" s="4"/>
      <c r="K61" s="4"/>
      <c r="L61" s="4"/>
      <c r="M61" s="4"/>
      <c r="N61" s="4"/>
      <c r="O61" s="4"/>
      <c r="P61" s="4"/>
      <c r="Q61" s="4"/>
      <c r="R61" s="4"/>
      <c r="S61" s="4"/>
      <c r="T61" s="4"/>
      <c r="U61" s="4"/>
      <c r="V61" s="2"/>
      <c r="W61" s="2"/>
      <c r="X61" s="509">
        <f t="shared" si="2"/>
        <v>0</v>
      </c>
      <c r="Y61" s="510">
        <f t="shared" si="3"/>
        <v>0</v>
      </c>
      <c r="Z61" s="510">
        <f t="shared" si="4"/>
        <v>0</v>
      </c>
      <c r="AA61" s="511">
        <f t="shared" si="6"/>
        <v>0</v>
      </c>
      <c r="AB61" s="503" t="s">
        <v>190</v>
      </c>
      <c r="AC61" s="512">
        <v>120</v>
      </c>
      <c r="AD61" s="508">
        <v>1.2</v>
      </c>
      <c r="AE61" s="506" t="s">
        <v>191</v>
      </c>
      <c r="AF61" s="507">
        <v>0.54</v>
      </c>
      <c r="AG61" s="507">
        <v>0.35</v>
      </c>
      <c r="AH61" s="507">
        <v>0.03</v>
      </c>
      <c r="AI61" s="507">
        <v>0</v>
      </c>
      <c r="AJ61" s="508">
        <f t="shared" si="5"/>
        <v>28.874067904964413</v>
      </c>
      <c r="AK61" s="514" t="s">
        <v>635</v>
      </c>
      <c r="AL61" s="529">
        <v>96</v>
      </c>
      <c r="AM61" s="506" t="s">
        <v>191</v>
      </c>
      <c r="AN61" s="508">
        <v>14.6</v>
      </c>
      <c r="AO61" s="513">
        <f t="shared" si="7"/>
        <v>0</v>
      </c>
      <c r="AP61" s="514">
        <f t="shared" si="8"/>
        <v>0</v>
      </c>
      <c r="AQ61" s="514">
        <f t="shared" si="9"/>
        <v>0</v>
      </c>
      <c r="AR61" s="514">
        <f t="shared" si="10"/>
        <v>0</v>
      </c>
      <c r="AS61" s="515">
        <f t="shared" si="11"/>
        <v>0</v>
      </c>
      <c r="AT61" s="4"/>
      <c r="AU61" s="4"/>
      <c r="AV61" s="445" t="s">
        <v>961</v>
      </c>
      <c r="AW61" s="441" t="s">
        <v>71</v>
      </c>
      <c r="AX61" s="442">
        <f t="shared" si="0"/>
        <v>4</v>
      </c>
      <c r="AY61" s="442">
        <f t="shared" si="1"/>
        <v>0</v>
      </c>
    </row>
    <row r="62" spans="1:51" ht="15.75" customHeight="1">
      <c r="A62" s="20"/>
      <c r="B62" s="4"/>
      <c r="C62" s="4"/>
      <c r="D62" s="4"/>
      <c r="E62" s="4"/>
      <c r="F62" s="4"/>
      <c r="G62" s="4"/>
      <c r="H62" s="4"/>
      <c r="I62" s="4"/>
      <c r="J62" s="4"/>
      <c r="K62" s="4"/>
      <c r="L62" s="4"/>
      <c r="M62" s="4"/>
      <c r="N62" s="4"/>
      <c r="O62" s="4"/>
      <c r="P62" s="4"/>
      <c r="Q62" s="4"/>
      <c r="R62" s="4"/>
      <c r="S62" s="4"/>
      <c r="T62" s="4"/>
      <c r="U62" s="4"/>
      <c r="V62" s="2"/>
      <c r="W62" s="2"/>
      <c r="X62" s="509">
        <f t="shared" si="2"/>
        <v>0</v>
      </c>
      <c r="Y62" s="510">
        <f t="shared" si="3"/>
        <v>0</v>
      </c>
      <c r="Z62" s="510">
        <f t="shared" si="4"/>
        <v>0</v>
      </c>
      <c r="AA62" s="511">
        <f t="shared" si="6"/>
        <v>0</v>
      </c>
      <c r="AB62" s="503" t="s">
        <v>197</v>
      </c>
      <c r="AC62" s="512">
        <v>66</v>
      </c>
      <c r="AD62" s="508">
        <v>1.1000000000000001</v>
      </c>
      <c r="AE62" s="506" t="s">
        <v>181</v>
      </c>
      <c r="AF62" s="507">
        <v>0.56999999999999995</v>
      </c>
      <c r="AG62" s="507">
        <v>0.28000000000000003</v>
      </c>
      <c r="AH62" s="507">
        <v>0.01</v>
      </c>
      <c r="AI62" s="507">
        <v>0.13</v>
      </c>
      <c r="AJ62" s="508">
        <f t="shared" si="5"/>
        <v>16.856651235528204</v>
      </c>
      <c r="AK62" s="514" t="s">
        <v>246</v>
      </c>
      <c r="AL62" s="529">
        <v>67</v>
      </c>
      <c r="AM62" s="506" t="s">
        <v>182</v>
      </c>
      <c r="AN62" s="508">
        <v>25.7</v>
      </c>
      <c r="AO62" s="513">
        <f t="shared" si="7"/>
        <v>0</v>
      </c>
      <c r="AP62" s="514">
        <f t="shared" si="8"/>
        <v>0</v>
      </c>
      <c r="AQ62" s="514">
        <f t="shared" si="9"/>
        <v>0</v>
      </c>
      <c r="AR62" s="514">
        <f t="shared" si="10"/>
        <v>0</v>
      </c>
      <c r="AS62" s="515">
        <f t="shared" si="11"/>
        <v>0</v>
      </c>
      <c r="AT62" s="4"/>
      <c r="AU62" s="4"/>
      <c r="AV62" s="445" t="s">
        <v>962</v>
      </c>
      <c r="AW62" s="441" t="s">
        <v>1002</v>
      </c>
      <c r="AX62" s="442">
        <f t="shared" si="0"/>
        <v>2</v>
      </c>
      <c r="AY62" s="442">
        <f t="shared" si="1"/>
        <v>0</v>
      </c>
    </row>
    <row r="63" spans="1:51" ht="15.75" customHeight="1">
      <c r="A63" s="20"/>
      <c r="B63" s="4"/>
      <c r="C63" s="4"/>
      <c r="D63" s="4"/>
      <c r="E63" s="4"/>
      <c r="F63" s="4"/>
      <c r="G63" s="4"/>
      <c r="H63" s="4"/>
      <c r="I63" s="4"/>
      <c r="J63" s="4"/>
      <c r="K63" s="4"/>
      <c r="L63" s="4"/>
      <c r="M63" s="4"/>
      <c r="N63" s="4"/>
      <c r="O63" s="4"/>
      <c r="P63" s="4"/>
      <c r="Q63" s="4"/>
      <c r="R63" s="4"/>
      <c r="S63" s="4"/>
      <c r="T63" s="4"/>
      <c r="U63" s="4"/>
      <c r="V63" s="2"/>
      <c r="W63" s="2"/>
      <c r="X63" s="509">
        <f t="shared" si="2"/>
        <v>0</v>
      </c>
      <c r="Y63" s="510">
        <f t="shared" si="3"/>
        <v>0</v>
      </c>
      <c r="Z63" s="510">
        <f t="shared" si="4"/>
        <v>0</v>
      </c>
      <c r="AA63" s="511">
        <f t="shared" si="6"/>
        <v>0</v>
      </c>
      <c r="AB63" s="503" t="s">
        <v>198</v>
      </c>
      <c r="AC63" s="512">
        <v>118</v>
      </c>
      <c r="AD63" s="508">
        <v>1.2</v>
      </c>
      <c r="AE63" s="506" t="s">
        <v>170</v>
      </c>
      <c r="AF63" s="507">
        <v>0.7</v>
      </c>
      <c r="AG63" s="507">
        <v>0.23</v>
      </c>
      <c r="AH63" s="507">
        <v>0.01</v>
      </c>
      <c r="AI63" s="507">
        <v>0.06</v>
      </c>
      <c r="AJ63" s="508">
        <f t="shared" si="5"/>
        <v>33.92414281765533</v>
      </c>
      <c r="AK63" s="514" t="s">
        <v>246</v>
      </c>
      <c r="AL63" s="529">
        <v>67</v>
      </c>
      <c r="AM63" s="506" t="s">
        <v>170</v>
      </c>
      <c r="AN63" s="508">
        <v>14.6</v>
      </c>
      <c r="AO63" s="513">
        <f t="shared" si="7"/>
        <v>0</v>
      </c>
      <c r="AP63" s="514">
        <f t="shared" si="8"/>
        <v>0</v>
      </c>
      <c r="AQ63" s="514">
        <f t="shared" si="9"/>
        <v>0</v>
      </c>
      <c r="AR63" s="514">
        <f t="shared" si="10"/>
        <v>0</v>
      </c>
      <c r="AS63" s="515">
        <f t="shared" si="11"/>
        <v>0</v>
      </c>
      <c r="AT63" s="4"/>
      <c r="AU63" s="4"/>
      <c r="AV63" s="445" t="s">
        <v>963</v>
      </c>
      <c r="AW63" s="441" t="s">
        <v>1002</v>
      </c>
      <c r="AX63" s="442">
        <f t="shared" si="0"/>
        <v>2</v>
      </c>
      <c r="AY63" s="442">
        <f t="shared" si="1"/>
        <v>0</v>
      </c>
    </row>
    <row r="64" spans="1:51" ht="15.75" customHeight="1">
      <c r="A64" s="20"/>
      <c r="B64" s="4"/>
      <c r="C64" s="4"/>
      <c r="D64" s="4"/>
      <c r="E64" s="4"/>
      <c r="F64" s="4"/>
      <c r="G64" s="4"/>
      <c r="H64" s="4"/>
      <c r="I64" s="4"/>
      <c r="J64" s="4"/>
      <c r="K64" s="4"/>
      <c r="L64" s="4"/>
      <c r="M64" s="4"/>
      <c r="N64" s="4"/>
      <c r="O64" s="4"/>
      <c r="P64" s="4"/>
      <c r="Q64" s="4"/>
      <c r="R64" s="4"/>
      <c r="S64" s="4"/>
      <c r="T64" s="4"/>
      <c r="U64" s="4"/>
      <c r="V64" s="2"/>
      <c r="W64" s="2"/>
      <c r="X64" s="509">
        <f t="shared" si="2"/>
        <v>0</v>
      </c>
      <c r="Y64" s="510">
        <f t="shared" si="3"/>
        <v>0</v>
      </c>
      <c r="Z64" s="510">
        <f t="shared" si="4"/>
        <v>0</v>
      </c>
      <c r="AA64" s="511">
        <f t="shared" si="6"/>
        <v>0</v>
      </c>
      <c r="AB64" s="503" t="s">
        <v>200</v>
      </c>
      <c r="AC64" s="512">
        <v>75</v>
      </c>
      <c r="AD64" s="508">
        <v>1.2</v>
      </c>
      <c r="AE64" s="506" t="s">
        <v>191</v>
      </c>
      <c r="AF64" s="507">
        <v>0.54</v>
      </c>
      <c r="AG64" s="507">
        <v>0.35</v>
      </c>
      <c r="AH64" s="507">
        <v>0.03</v>
      </c>
      <c r="AI64" s="507">
        <v>0</v>
      </c>
      <c r="AJ64" s="508">
        <f t="shared" si="5"/>
        <v>18.046292440602752</v>
      </c>
      <c r="AK64" s="514" t="s">
        <v>635</v>
      </c>
      <c r="AL64" s="529">
        <v>96</v>
      </c>
      <c r="AM64" s="506" t="s">
        <v>191</v>
      </c>
      <c r="AN64" s="508">
        <v>14.6</v>
      </c>
      <c r="AO64" s="513">
        <f t="shared" si="7"/>
        <v>0</v>
      </c>
      <c r="AP64" s="514">
        <f t="shared" si="8"/>
        <v>0</v>
      </c>
      <c r="AQ64" s="514">
        <f t="shared" si="9"/>
        <v>0</v>
      </c>
      <c r="AR64" s="514">
        <f t="shared" si="10"/>
        <v>0</v>
      </c>
      <c r="AS64" s="515">
        <f t="shared" si="11"/>
        <v>0</v>
      </c>
      <c r="AT64" s="4"/>
      <c r="AU64" s="4"/>
      <c r="AV64" s="445" t="s">
        <v>964</v>
      </c>
      <c r="AW64" s="441" t="s">
        <v>1004</v>
      </c>
      <c r="AX64" s="442">
        <f t="shared" si="0"/>
        <v>3</v>
      </c>
      <c r="AY64" s="442">
        <f t="shared" si="1"/>
        <v>0</v>
      </c>
    </row>
    <row r="65" spans="1:51" ht="15.75" customHeight="1">
      <c r="A65" s="20"/>
      <c r="B65" s="4"/>
      <c r="C65" s="4"/>
      <c r="D65" s="4"/>
      <c r="E65" s="4"/>
      <c r="F65" s="4"/>
      <c r="G65" s="4"/>
      <c r="H65" s="4"/>
      <c r="I65" s="4"/>
      <c r="J65" s="4"/>
      <c r="K65" s="4"/>
      <c r="L65" s="4"/>
      <c r="M65" s="4"/>
      <c r="N65" s="4"/>
      <c r="O65" s="4"/>
      <c r="P65" s="4"/>
      <c r="Q65" s="4"/>
      <c r="R65" s="4"/>
      <c r="S65" s="4"/>
      <c r="T65" s="4"/>
      <c r="U65" s="4"/>
      <c r="V65" s="2"/>
      <c r="W65" s="2"/>
      <c r="X65" s="509">
        <f t="shared" si="2"/>
        <v>0</v>
      </c>
      <c r="Y65" s="510">
        <f t="shared" si="3"/>
        <v>0</v>
      </c>
      <c r="Z65" s="510">
        <f t="shared" si="4"/>
        <v>0</v>
      </c>
      <c r="AA65" s="511">
        <f t="shared" si="6"/>
        <v>0</v>
      </c>
      <c r="AB65" s="503" t="s">
        <v>206</v>
      </c>
      <c r="AC65" s="512">
        <v>76</v>
      </c>
      <c r="AD65" s="508">
        <v>1.2</v>
      </c>
      <c r="AE65" s="506" t="s">
        <v>191</v>
      </c>
      <c r="AF65" s="507">
        <v>0.54</v>
      </c>
      <c r="AG65" s="507">
        <v>0.35</v>
      </c>
      <c r="AH65" s="507">
        <v>0.03</v>
      </c>
      <c r="AI65" s="507">
        <v>0</v>
      </c>
      <c r="AJ65" s="508">
        <f t="shared" si="5"/>
        <v>18.286909673144123</v>
      </c>
      <c r="AK65" s="514" t="s">
        <v>635</v>
      </c>
      <c r="AL65" s="529">
        <v>96</v>
      </c>
      <c r="AM65" s="506" t="s">
        <v>191</v>
      </c>
      <c r="AN65" s="508">
        <v>14.6</v>
      </c>
      <c r="AO65" s="513">
        <f t="shared" si="7"/>
        <v>0</v>
      </c>
      <c r="AP65" s="514">
        <f t="shared" si="8"/>
        <v>0</v>
      </c>
      <c r="AQ65" s="514">
        <f t="shared" si="9"/>
        <v>0</v>
      </c>
      <c r="AR65" s="514">
        <f t="shared" si="10"/>
        <v>0</v>
      </c>
      <c r="AS65" s="515">
        <f t="shared" si="11"/>
        <v>0</v>
      </c>
      <c r="AT65" s="4"/>
      <c r="AU65" s="4"/>
      <c r="AV65" s="445" t="s">
        <v>965</v>
      </c>
      <c r="AW65" s="441" t="s">
        <v>1004</v>
      </c>
      <c r="AX65" s="442">
        <f t="shared" si="0"/>
        <v>3</v>
      </c>
      <c r="AY65" s="442">
        <f t="shared" si="1"/>
        <v>0</v>
      </c>
    </row>
    <row r="66" spans="1:51" ht="15.75" customHeight="1">
      <c r="A66" s="20"/>
      <c r="B66" s="4"/>
      <c r="C66" s="4"/>
      <c r="D66" s="4"/>
      <c r="E66" s="4"/>
      <c r="F66" s="4"/>
      <c r="G66" s="4"/>
      <c r="H66" s="4"/>
      <c r="I66" s="4"/>
      <c r="J66" s="4"/>
      <c r="K66" s="4"/>
      <c r="L66" s="4"/>
      <c r="M66" s="4"/>
      <c r="N66" s="4"/>
      <c r="O66" s="4"/>
      <c r="P66" s="4"/>
      <c r="Q66" s="4"/>
      <c r="R66" s="4"/>
      <c r="S66" s="4"/>
      <c r="T66" s="4"/>
      <c r="U66" s="4"/>
      <c r="V66" s="2"/>
      <c r="W66" s="2"/>
      <c r="X66" s="509">
        <f t="shared" si="2"/>
        <v>0</v>
      </c>
      <c r="Y66" s="510">
        <f t="shared" si="3"/>
        <v>0</v>
      </c>
      <c r="Z66" s="510">
        <f t="shared" si="4"/>
        <v>0</v>
      </c>
      <c r="AA66" s="511">
        <f t="shared" si="6"/>
        <v>0</v>
      </c>
      <c r="AB66" s="503" t="s">
        <v>207</v>
      </c>
      <c r="AC66" s="512">
        <v>75</v>
      </c>
      <c r="AD66" s="508">
        <v>1.2</v>
      </c>
      <c r="AE66" s="506" t="s">
        <v>191</v>
      </c>
      <c r="AF66" s="507">
        <v>0.54</v>
      </c>
      <c r="AG66" s="507">
        <v>0.35</v>
      </c>
      <c r="AH66" s="507">
        <v>0.03</v>
      </c>
      <c r="AI66" s="507">
        <v>0</v>
      </c>
      <c r="AJ66" s="508">
        <f t="shared" si="5"/>
        <v>18.046292440602752</v>
      </c>
      <c r="AK66" s="514" t="s">
        <v>635</v>
      </c>
      <c r="AL66" s="529">
        <v>96</v>
      </c>
      <c r="AM66" s="506" t="s">
        <v>191</v>
      </c>
      <c r="AN66" s="508">
        <v>14.6</v>
      </c>
      <c r="AO66" s="513">
        <f t="shared" si="7"/>
        <v>0</v>
      </c>
      <c r="AP66" s="514">
        <f t="shared" si="8"/>
        <v>0</v>
      </c>
      <c r="AQ66" s="514">
        <f t="shared" si="9"/>
        <v>0</v>
      </c>
      <c r="AR66" s="514">
        <f t="shared" si="10"/>
        <v>0</v>
      </c>
      <c r="AS66" s="515">
        <f t="shared" si="11"/>
        <v>0</v>
      </c>
      <c r="AT66" s="4"/>
      <c r="AU66" s="4"/>
      <c r="AV66" s="445" t="s">
        <v>966</v>
      </c>
      <c r="AW66" s="441" t="s">
        <v>1004</v>
      </c>
      <c r="AX66" s="442">
        <f t="shared" si="0"/>
        <v>3</v>
      </c>
      <c r="AY66" s="442">
        <f t="shared" si="1"/>
        <v>0</v>
      </c>
    </row>
    <row r="67" spans="1:51" ht="15.75" customHeight="1">
      <c r="A67" s="20"/>
      <c r="B67" s="4"/>
      <c r="C67" s="4"/>
      <c r="D67" s="4"/>
      <c r="E67" s="4"/>
      <c r="F67" s="4"/>
      <c r="G67" s="4"/>
      <c r="H67" s="4"/>
      <c r="I67" s="4"/>
      <c r="J67" s="4"/>
      <c r="K67" s="4"/>
      <c r="L67" s="4"/>
      <c r="M67" s="4"/>
      <c r="N67" s="4"/>
      <c r="O67" s="4"/>
      <c r="P67" s="4"/>
      <c r="Q67" s="4"/>
      <c r="R67" s="4"/>
      <c r="S67" s="4"/>
      <c r="T67" s="4"/>
      <c r="U67" s="4"/>
      <c r="V67" s="2"/>
      <c r="W67" s="2"/>
      <c r="X67" s="509">
        <f t="shared" si="2"/>
        <v>0</v>
      </c>
      <c r="Y67" s="510">
        <f t="shared" si="3"/>
        <v>0</v>
      </c>
      <c r="Z67" s="510">
        <f t="shared" si="4"/>
        <v>0</v>
      </c>
      <c r="AA67" s="511">
        <f t="shared" si="6"/>
        <v>0</v>
      </c>
      <c r="AB67" s="503" t="s">
        <v>209</v>
      </c>
      <c r="AC67" s="512">
        <v>534</v>
      </c>
      <c r="AD67" s="508">
        <v>1.5</v>
      </c>
      <c r="AE67" s="506" t="s">
        <v>210</v>
      </c>
      <c r="AF67" s="507">
        <v>0.54</v>
      </c>
      <c r="AG67" s="507">
        <v>0.44</v>
      </c>
      <c r="AH67" s="507">
        <v>0</v>
      </c>
      <c r="AI67" s="507">
        <v>0</v>
      </c>
      <c r="AJ67" s="508">
        <f t="shared" si="5"/>
        <v>131.72231075378113</v>
      </c>
      <c r="AK67" s="514" t="s">
        <v>246</v>
      </c>
      <c r="AL67" s="529">
        <v>67</v>
      </c>
      <c r="AM67" s="506" t="s">
        <v>211</v>
      </c>
      <c r="AN67" s="508">
        <v>215</v>
      </c>
      <c r="AO67" s="513">
        <f t="shared" si="7"/>
        <v>0</v>
      </c>
      <c r="AP67" s="514">
        <f t="shared" si="8"/>
        <v>0</v>
      </c>
      <c r="AQ67" s="514">
        <f t="shared" si="9"/>
        <v>0</v>
      </c>
      <c r="AR67" s="514">
        <f t="shared" si="10"/>
        <v>0</v>
      </c>
      <c r="AS67" s="515">
        <f t="shared" si="11"/>
        <v>0</v>
      </c>
      <c r="AT67" s="4"/>
      <c r="AU67" s="4"/>
      <c r="AV67" s="445" t="s">
        <v>967</v>
      </c>
      <c r="AW67" s="441" t="s">
        <v>1004</v>
      </c>
      <c r="AX67" s="442">
        <f t="shared" si="0"/>
        <v>3</v>
      </c>
      <c r="AY67" s="442">
        <f t="shared" si="1"/>
        <v>0</v>
      </c>
    </row>
    <row r="68" spans="1:51" ht="15.75" customHeight="1">
      <c r="A68" s="20"/>
      <c r="B68" s="4"/>
      <c r="C68" s="4"/>
      <c r="D68" s="4"/>
      <c r="E68" s="4"/>
      <c r="F68" s="4"/>
      <c r="G68" s="4"/>
      <c r="H68" s="4"/>
      <c r="I68" s="4"/>
      <c r="J68" s="4"/>
      <c r="K68" s="4"/>
      <c r="L68" s="4"/>
      <c r="M68" s="4"/>
      <c r="N68" s="4"/>
      <c r="O68" s="4"/>
      <c r="P68" s="4"/>
      <c r="Q68" s="4"/>
      <c r="R68" s="4"/>
      <c r="S68" s="4"/>
      <c r="T68" s="4"/>
      <c r="U68" s="4"/>
      <c r="V68" s="2"/>
      <c r="W68" s="2"/>
      <c r="X68" s="509">
        <f t="shared" si="2"/>
        <v>0</v>
      </c>
      <c r="Y68" s="510">
        <f t="shared" si="3"/>
        <v>0</v>
      </c>
      <c r="Z68" s="510">
        <f t="shared" si="4"/>
        <v>0</v>
      </c>
      <c r="AA68" s="511">
        <f t="shared" si="6"/>
        <v>0</v>
      </c>
      <c r="AB68" s="503" t="s">
        <v>213</v>
      </c>
      <c r="AC68" s="512">
        <v>213</v>
      </c>
      <c r="AD68" s="508">
        <v>1.5</v>
      </c>
      <c r="AE68" s="506" t="s">
        <v>214</v>
      </c>
      <c r="AF68" s="507">
        <v>0.79</v>
      </c>
      <c r="AG68" s="507">
        <v>0.21</v>
      </c>
      <c r="AH68" s="507">
        <v>0</v>
      </c>
      <c r="AI68" s="507">
        <v>0</v>
      </c>
      <c r="AJ68" s="508">
        <f t="shared" si="5"/>
        <v>65.704835532567969</v>
      </c>
      <c r="AK68" s="514" t="s">
        <v>246</v>
      </c>
      <c r="AL68" s="529">
        <v>67</v>
      </c>
      <c r="AM68" s="506" t="s">
        <v>215</v>
      </c>
      <c r="AN68" s="508">
        <v>23.7</v>
      </c>
      <c r="AO68" s="513">
        <f t="shared" si="7"/>
        <v>0</v>
      </c>
      <c r="AP68" s="514">
        <f t="shared" si="8"/>
        <v>0</v>
      </c>
      <c r="AQ68" s="514">
        <f t="shared" si="9"/>
        <v>0</v>
      </c>
      <c r="AR68" s="514">
        <f t="shared" si="10"/>
        <v>0</v>
      </c>
      <c r="AS68" s="515">
        <f t="shared" si="11"/>
        <v>0</v>
      </c>
      <c r="AT68" s="4"/>
      <c r="AU68" s="4"/>
      <c r="AV68" s="445" t="s">
        <v>968</v>
      </c>
      <c r="AW68" s="441" t="s">
        <v>71</v>
      </c>
      <c r="AX68" s="442">
        <f t="shared" si="0"/>
        <v>4</v>
      </c>
      <c r="AY68" s="442">
        <f t="shared" si="1"/>
        <v>0</v>
      </c>
    </row>
    <row r="69" spans="1:51" ht="15.75" customHeight="1">
      <c r="A69" s="20"/>
      <c r="B69" s="4"/>
      <c r="C69" s="4"/>
      <c r="D69" s="4"/>
      <c r="E69" s="4"/>
      <c r="F69" s="4"/>
      <c r="G69" s="4"/>
      <c r="H69" s="4"/>
      <c r="I69" s="4"/>
      <c r="J69" s="4"/>
      <c r="K69" s="4"/>
      <c r="L69" s="4"/>
      <c r="M69" s="4"/>
      <c r="N69" s="4"/>
      <c r="O69" s="4"/>
      <c r="P69" s="4"/>
      <c r="Q69" s="4"/>
      <c r="R69" s="4"/>
      <c r="S69" s="4"/>
      <c r="T69" s="4"/>
      <c r="U69" s="4"/>
      <c r="V69" s="2"/>
      <c r="W69" s="2"/>
      <c r="X69" s="509">
        <f t="shared" si="2"/>
        <v>0</v>
      </c>
      <c r="Y69" s="510">
        <f t="shared" si="3"/>
        <v>0</v>
      </c>
      <c r="Z69" s="510">
        <f t="shared" si="4"/>
        <v>0</v>
      </c>
      <c r="AA69" s="511">
        <f t="shared" si="6"/>
        <v>0</v>
      </c>
      <c r="AB69" s="503" t="s">
        <v>217</v>
      </c>
      <c r="AC69" s="512">
        <v>3.2</v>
      </c>
      <c r="AD69" s="508">
        <v>1.5</v>
      </c>
      <c r="AE69" s="506" t="s">
        <v>210</v>
      </c>
      <c r="AF69" s="507">
        <v>0.54</v>
      </c>
      <c r="AG69" s="507">
        <v>0.44</v>
      </c>
      <c r="AH69" s="507">
        <v>0</v>
      </c>
      <c r="AI69" s="507">
        <v>0</v>
      </c>
      <c r="AJ69" s="508">
        <f t="shared" si="5"/>
        <v>0.78934718054700292</v>
      </c>
      <c r="AK69" s="514" t="s">
        <v>246</v>
      </c>
      <c r="AL69" s="529">
        <v>67</v>
      </c>
      <c r="AM69" s="506" t="s">
        <v>211</v>
      </c>
      <c r="AN69" s="508">
        <v>215</v>
      </c>
      <c r="AO69" s="513">
        <f t="shared" si="7"/>
        <v>0</v>
      </c>
      <c r="AP69" s="514">
        <f t="shared" si="8"/>
        <v>0</v>
      </c>
      <c r="AQ69" s="514">
        <f t="shared" si="9"/>
        <v>0</v>
      </c>
      <c r="AR69" s="514">
        <f t="shared" si="10"/>
        <v>0</v>
      </c>
      <c r="AS69" s="515">
        <f t="shared" si="11"/>
        <v>0</v>
      </c>
      <c r="AT69" s="4"/>
      <c r="AU69" s="4"/>
      <c r="AV69" s="445" t="s">
        <v>969</v>
      </c>
      <c r="AW69" s="441" t="s">
        <v>71</v>
      </c>
      <c r="AX69" s="442">
        <f t="shared" si="0"/>
        <v>4</v>
      </c>
      <c r="AY69" s="442">
        <f t="shared" si="1"/>
        <v>0</v>
      </c>
    </row>
    <row r="70" spans="1:51" ht="15.75" customHeight="1">
      <c r="A70" s="20"/>
      <c r="B70" s="4"/>
      <c r="C70" s="4"/>
      <c r="D70" s="4"/>
      <c r="E70" s="4"/>
      <c r="F70" s="4"/>
      <c r="G70" s="4"/>
      <c r="H70" s="4"/>
      <c r="I70" s="4"/>
      <c r="J70" s="4"/>
      <c r="K70" s="4"/>
      <c r="L70" s="4"/>
      <c r="M70" s="4"/>
      <c r="N70" s="4"/>
      <c r="O70" s="4"/>
      <c r="P70" s="4"/>
      <c r="Q70" s="4"/>
      <c r="R70" s="4"/>
      <c r="S70" s="4"/>
      <c r="T70" s="4"/>
      <c r="U70" s="4"/>
      <c r="V70" s="2"/>
      <c r="W70" s="2"/>
      <c r="X70" s="509">
        <f t="shared" si="2"/>
        <v>0</v>
      </c>
      <c r="Y70" s="510">
        <f t="shared" si="3"/>
        <v>0</v>
      </c>
      <c r="Z70" s="510">
        <f t="shared" si="4"/>
        <v>0</v>
      </c>
      <c r="AA70" s="511">
        <f t="shared" si="6"/>
        <v>0</v>
      </c>
      <c r="AB70" s="503" t="s">
        <v>220</v>
      </c>
      <c r="AC70" s="512">
        <v>225</v>
      </c>
      <c r="AD70" s="508">
        <v>1.5</v>
      </c>
      <c r="AE70" s="506" t="s">
        <v>214</v>
      </c>
      <c r="AF70" s="507">
        <v>0.79</v>
      </c>
      <c r="AG70" s="507">
        <v>0.21</v>
      </c>
      <c r="AH70" s="507">
        <v>0</v>
      </c>
      <c r="AI70" s="507">
        <v>0</v>
      </c>
      <c r="AJ70" s="508">
        <f t="shared" si="5"/>
        <v>69.406516407642229</v>
      </c>
      <c r="AK70" s="514" t="s">
        <v>246</v>
      </c>
      <c r="AL70" s="529">
        <v>67</v>
      </c>
      <c r="AM70" s="506" t="s">
        <v>221</v>
      </c>
      <c r="AN70" s="508">
        <v>23.7</v>
      </c>
      <c r="AO70" s="513">
        <f t="shared" si="7"/>
        <v>0</v>
      </c>
      <c r="AP70" s="514">
        <f t="shared" si="8"/>
        <v>0</v>
      </c>
      <c r="AQ70" s="514">
        <f t="shared" si="9"/>
        <v>0</v>
      </c>
      <c r="AR70" s="514">
        <f t="shared" si="10"/>
        <v>0</v>
      </c>
      <c r="AS70" s="515">
        <f t="shared" si="11"/>
        <v>0</v>
      </c>
      <c r="AT70" s="4"/>
      <c r="AU70" s="4"/>
      <c r="AV70" s="445" t="s">
        <v>970</v>
      </c>
      <c r="AW70" s="441" t="s">
        <v>1003</v>
      </c>
      <c r="AX70" s="442">
        <f t="shared" si="0"/>
        <v>1</v>
      </c>
      <c r="AY70" s="442">
        <f t="shared" si="1"/>
        <v>0</v>
      </c>
    </row>
    <row r="71" spans="1:51" ht="15.75" customHeight="1">
      <c r="A71" s="20"/>
      <c r="B71" s="4"/>
      <c r="C71" s="4"/>
      <c r="D71" s="4"/>
      <c r="E71" s="4"/>
      <c r="F71" s="4"/>
      <c r="G71" s="4"/>
      <c r="H71" s="4"/>
      <c r="I71" s="4"/>
      <c r="J71" s="4"/>
      <c r="K71" s="4"/>
      <c r="L71" s="4"/>
      <c r="M71" s="4"/>
      <c r="N71" s="4"/>
      <c r="O71" s="4"/>
      <c r="P71" s="4"/>
      <c r="Q71" s="4"/>
      <c r="R71" s="4"/>
      <c r="S71" s="4"/>
      <c r="T71" s="4"/>
      <c r="U71" s="4"/>
      <c r="V71" s="2"/>
      <c r="W71" s="2"/>
      <c r="X71" s="509">
        <f t="shared" si="2"/>
        <v>0</v>
      </c>
      <c r="Y71" s="510">
        <f t="shared" si="3"/>
        <v>0</v>
      </c>
      <c r="Z71" s="510">
        <f t="shared" si="4"/>
        <v>0</v>
      </c>
      <c r="AA71" s="511">
        <f t="shared" si="6"/>
        <v>0</v>
      </c>
      <c r="AB71" s="503" t="s">
        <v>226</v>
      </c>
      <c r="AC71" s="512">
        <v>351</v>
      </c>
      <c r="AD71" s="508">
        <v>1.5</v>
      </c>
      <c r="AE71" s="506" t="s">
        <v>210</v>
      </c>
      <c r="AF71" s="507">
        <v>0.54</v>
      </c>
      <c r="AG71" s="507">
        <v>0.44</v>
      </c>
      <c r="AH71" s="507">
        <v>0</v>
      </c>
      <c r="AI71" s="507">
        <v>0</v>
      </c>
      <c r="AJ71" s="508">
        <f t="shared" si="5"/>
        <v>86.581518866249382</v>
      </c>
      <c r="AK71" s="514" t="s">
        <v>246</v>
      </c>
      <c r="AL71" s="529">
        <v>67</v>
      </c>
      <c r="AM71" s="506" t="s">
        <v>211</v>
      </c>
      <c r="AN71" s="508">
        <v>215</v>
      </c>
      <c r="AO71" s="513">
        <f t="shared" si="7"/>
        <v>0</v>
      </c>
      <c r="AP71" s="514">
        <f t="shared" si="8"/>
        <v>0</v>
      </c>
      <c r="AQ71" s="514">
        <f t="shared" si="9"/>
        <v>0</v>
      </c>
      <c r="AR71" s="514">
        <f t="shared" si="10"/>
        <v>0</v>
      </c>
      <c r="AS71" s="515">
        <f t="shared" si="11"/>
        <v>0</v>
      </c>
      <c r="AT71" s="4"/>
      <c r="AU71" s="4"/>
      <c r="AV71" s="445" t="s">
        <v>971</v>
      </c>
      <c r="AW71" s="441" t="s">
        <v>1003</v>
      </c>
      <c r="AX71" s="442">
        <f t="shared" si="0"/>
        <v>1</v>
      </c>
      <c r="AY71" s="442">
        <f t="shared" si="1"/>
        <v>0</v>
      </c>
    </row>
    <row r="72" spans="1:51" ht="15.75" customHeight="1">
      <c r="A72" s="20"/>
      <c r="B72" s="4"/>
      <c r="C72" s="4"/>
      <c r="D72" s="4"/>
      <c r="E72" s="4"/>
      <c r="F72" s="4"/>
      <c r="G72" s="4"/>
      <c r="H72" s="4"/>
      <c r="I72" s="4"/>
      <c r="J72" s="4"/>
      <c r="K72" s="4"/>
      <c r="L72" s="4"/>
      <c r="M72" s="4"/>
      <c r="N72" s="4"/>
      <c r="O72" s="4"/>
      <c r="P72" s="4"/>
      <c r="Q72" s="4"/>
      <c r="R72" s="4"/>
      <c r="S72" s="4"/>
      <c r="T72" s="4"/>
      <c r="U72" s="4"/>
      <c r="V72" s="2"/>
      <c r="W72" s="2"/>
      <c r="X72" s="509">
        <f t="shared" si="2"/>
        <v>0</v>
      </c>
      <c r="Y72" s="510">
        <f t="shared" si="3"/>
        <v>0</v>
      </c>
      <c r="Z72" s="510">
        <f t="shared" si="4"/>
        <v>0</v>
      </c>
      <c r="AA72" s="511">
        <f t="shared" si="6"/>
        <v>0</v>
      </c>
      <c r="AB72" s="503" t="s">
        <v>229</v>
      </c>
      <c r="AC72" s="512">
        <v>370</v>
      </c>
      <c r="AD72" s="508">
        <v>1.4</v>
      </c>
      <c r="AE72" s="506" t="s">
        <v>230</v>
      </c>
      <c r="AF72" s="507">
        <v>0.51</v>
      </c>
      <c r="AG72" s="507">
        <v>0.37</v>
      </c>
      <c r="AH72" s="507">
        <v>0.03</v>
      </c>
      <c r="AI72" s="507">
        <v>0.09</v>
      </c>
      <c r="AJ72" s="508">
        <f t="shared" si="5"/>
        <v>89.967701042509859</v>
      </c>
      <c r="AK72" s="514" t="s">
        <v>635</v>
      </c>
      <c r="AL72" s="529">
        <v>96</v>
      </c>
      <c r="AM72" s="506" t="s">
        <v>230</v>
      </c>
      <c r="AN72" s="508">
        <v>49.6</v>
      </c>
      <c r="AO72" s="513">
        <f t="shared" si="7"/>
        <v>0</v>
      </c>
      <c r="AP72" s="514">
        <f t="shared" si="8"/>
        <v>0</v>
      </c>
      <c r="AQ72" s="514">
        <f t="shared" si="9"/>
        <v>0</v>
      </c>
      <c r="AR72" s="514">
        <f t="shared" si="10"/>
        <v>0</v>
      </c>
      <c r="AS72" s="515">
        <f t="shared" si="11"/>
        <v>0</v>
      </c>
      <c r="AT72" s="4"/>
      <c r="AU72" s="4"/>
      <c r="AV72" s="445" t="s">
        <v>972</v>
      </c>
      <c r="AW72" s="441" t="s">
        <v>1003</v>
      </c>
      <c r="AX72" s="442">
        <f t="shared" si="0"/>
        <v>1</v>
      </c>
      <c r="AY72" s="442">
        <f t="shared" si="1"/>
        <v>0</v>
      </c>
    </row>
    <row r="73" spans="1:51" ht="15.75" customHeight="1">
      <c r="A73" s="20"/>
      <c r="B73" s="4"/>
      <c r="C73" s="4"/>
      <c r="D73" s="4"/>
      <c r="E73" s="4"/>
      <c r="F73" s="4"/>
      <c r="G73" s="4"/>
      <c r="H73" s="4"/>
      <c r="I73" s="4"/>
      <c r="J73" s="4"/>
      <c r="K73" s="4"/>
      <c r="L73" s="4"/>
      <c r="M73" s="4"/>
      <c r="N73" s="4"/>
      <c r="O73" s="4"/>
      <c r="P73" s="4"/>
      <c r="Q73" s="4"/>
      <c r="R73" s="4"/>
      <c r="S73" s="4"/>
      <c r="T73" s="4"/>
      <c r="U73" s="4"/>
      <c r="V73" s="2"/>
      <c r="W73" s="2"/>
      <c r="X73" s="509">
        <f t="shared" si="2"/>
        <v>0</v>
      </c>
      <c r="Y73" s="510">
        <f t="shared" si="3"/>
        <v>0</v>
      </c>
      <c r="Z73" s="510">
        <f t="shared" si="4"/>
        <v>0</v>
      </c>
      <c r="AA73" s="511">
        <f t="shared" si="6"/>
        <v>0</v>
      </c>
      <c r="AB73" s="503" t="s">
        <v>232</v>
      </c>
      <c r="AC73" s="512">
        <v>104</v>
      </c>
      <c r="AD73" s="508">
        <v>1.3</v>
      </c>
      <c r="AE73" s="506" t="s">
        <v>233</v>
      </c>
      <c r="AF73" s="507">
        <v>0.56999999999999995</v>
      </c>
      <c r="AG73" s="507">
        <v>0.28000000000000003</v>
      </c>
      <c r="AH73" s="507">
        <v>0.01</v>
      </c>
      <c r="AI73" s="507">
        <v>0.13</v>
      </c>
      <c r="AJ73" s="508">
        <f t="shared" si="5"/>
        <v>26.561995886286869</v>
      </c>
      <c r="AK73" s="530" t="s">
        <v>636</v>
      </c>
      <c r="AL73" s="529">
        <v>92</v>
      </c>
      <c r="AM73" s="506" t="s">
        <v>182</v>
      </c>
      <c r="AN73" s="508">
        <v>25.7</v>
      </c>
      <c r="AO73" s="513">
        <f t="shared" si="7"/>
        <v>0</v>
      </c>
      <c r="AP73" s="514">
        <f t="shared" si="8"/>
        <v>0</v>
      </c>
      <c r="AQ73" s="514">
        <f t="shared" si="9"/>
        <v>0</v>
      </c>
      <c r="AR73" s="514">
        <f t="shared" si="10"/>
        <v>0</v>
      </c>
      <c r="AS73" s="515">
        <f t="shared" si="11"/>
        <v>0</v>
      </c>
      <c r="AT73" s="4"/>
      <c r="AU73" s="4"/>
      <c r="AV73" s="445" t="s">
        <v>973</v>
      </c>
      <c r="AW73" s="441" t="s">
        <v>1004</v>
      </c>
      <c r="AX73" s="442">
        <f t="shared" si="0"/>
        <v>3</v>
      </c>
      <c r="AY73" s="442">
        <f t="shared" si="1"/>
        <v>0</v>
      </c>
    </row>
    <row r="74" spans="1:51" ht="15.75" customHeight="1">
      <c r="A74" s="20"/>
      <c r="B74" s="4"/>
      <c r="C74" s="4"/>
      <c r="D74" s="4"/>
      <c r="E74" s="4"/>
      <c r="F74" s="4"/>
      <c r="G74" s="4"/>
      <c r="H74" s="4"/>
      <c r="I74" s="4"/>
      <c r="J74" s="4"/>
      <c r="K74" s="4"/>
      <c r="L74" s="4"/>
      <c r="M74" s="4"/>
      <c r="N74" s="4"/>
      <c r="O74" s="4"/>
      <c r="P74" s="4"/>
      <c r="Q74" s="4"/>
      <c r="R74" s="4"/>
      <c r="S74" s="4"/>
      <c r="T74" s="4"/>
      <c r="U74" s="4"/>
      <c r="V74" s="2"/>
      <c r="W74" s="2"/>
      <c r="X74" s="509">
        <f t="shared" si="2"/>
        <v>0</v>
      </c>
      <c r="Y74" s="510">
        <f t="shared" si="3"/>
        <v>0</v>
      </c>
      <c r="Z74" s="510">
        <f t="shared" si="4"/>
        <v>0</v>
      </c>
      <c r="AA74" s="511">
        <f t="shared" si="6"/>
        <v>0</v>
      </c>
      <c r="AB74" s="503" t="s">
        <v>237</v>
      </c>
      <c r="AC74" s="512">
        <v>94</v>
      </c>
      <c r="AD74" s="508">
        <v>1</v>
      </c>
      <c r="AE74" s="506" t="s">
        <v>238</v>
      </c>
      <c r="AF74" s="507">
        <v>0.54</v>
      </c>
      <c r="AG74" s="507">
        <v>0.39</v>
      </c>
      <c r="AH74" s="507">
        <v>0.01</v>
      </c>
      <c r="AI74" s="507">
        <v>0</v>
      </c>
      <c r="AJ74" s="508">
        <f t="shared" si="5"/>
        <v>22.770260134461736</v>
      </c>
      <c r="AK74" s="530" t="s">
        <v>238</v>
      </c>
      <c r="AL74" s="529">
        <v>57</v>
      </c>
      <c r="AM74" s="506" t="s">
        <v>238</v>
      </c>
      <c r="AN74" s="508">
        <v>41.7</v>
      </c>
      <c r="AO74" s="513">
        <f t="shared" si="7"/>
        <v>0</v>
      </c>
      <c r="AP74" s="514">
        <f t="shared" si="8"/>
        <v>0</v>
      </c>
      <c r="AQ74" s="514">
        <f t="shared" si="9"/>
        <v>0</v>
      </c>
      <c r="AR74" s="514">
        <f t="shared" si="10"/>
        <v>0</v>
      </c>
      <c r="AS74" s="515">
        <f t="shared" si="11"/>
        <v>0</v>
      </c>
      <c r="AT74" s="4"/>
      <c r="AU74" s="4"/>
      <c r="AV74" s="445" t="s">
        <v>974</v>
      </c>
      <c r="AW74" s="441" t="s">
        <v>1004</v>
      </c>
      <c r="AX74" s="442">
        <f t="shared" si="0"/>
        <v>3</v>
      </c>
      <c r="AY74" s="442">
        <f t="shared" si="1"/>
        <v>0</v>
      </c>
    </row>
    <row r="75" spans="1:51" ht="15.75" customHeight="1">
      <c r="A75" s="20"/>
      <c r="B75" s="4"/>
      <c r="C75" s="4"/>
      <c r="D75" s="4"/>
      <c r="E75" s="4"/>
      <c r="F75" s="4"/>
      <c r="G75" s="4"/>
      <c r="H75" s="4"/>
      <c r="I75" s="4"/>
      <c r="J75" s="4"/>
      <c r="K75" s="4"/>
      <c r="L75" s="4"/>
      <c r="M75" s="4"/>
      <c r="N75" s="4"/>
      <c r="O75" s="4"/>
      <c r="P75" s="4"/>
      <c r="Q75" s="4"/>
      <c r="R75" s="4"/>
      <c r="S75" s="4"/>
      <c r="T75" s="4"/>
      <c r="U75" s="4"/>
      <c r="V75" s="2"/>
      <c r="W75" s="2"/>
      <c r="X75" s="509">
        <f t="shared" si="2"/>
        <v>0</v>
      </c>
      <c r="Y75" s="510">
        <f t="shared" si="3"/>
        <v>0</v>
      </c>
      <c r="Z75" s="510">
        <f t="shared" si="4"/>
        <v>0</v>
      </c>
      <c r="AA75" s="511">
        <f t="shared" si="6"/>
        <v>0</v>
      </c>
      <c r="AB75" s="503" t="s">
        <v>240</v>
      </c>
      <c r="AC75" s="512">
        <v>89</v>
      </c>
      <c r="AD75" s="508">
        <v>1</v>
      </c>
      <c r="AE75" s="506" t="s">
        <v>238</v>
      </c>
      <c r="AF75" s="507">
        <v>0.54</v>
      </c>
      <c r="AG75" s="507">
        <v>0.39</v>
      </c>
      <c r="AH75" s="507">
        <v>0.01</v>
      </c>
      <c r="AI75" s="507">
        <v>0</v>
      </c>
      <c r="AJ75" s="508">
        <f t="shared" si="5"/>
        <v>21.559076084756324</v>
      </c>
      <c r="AK75" s="530" t="s">
        <v>238</v>
      </c>
      <c r="AL75" s="529">
        <v>57</v>
      </c>
      <c r="AM75" s="506" t="s">
        <v>238</v>
      </c>
      <c r="AN75" s="508">
        <v>41.7</v>
      </c>
      <c r="AO75" s="513">
        <f t="shared" si="7"/>
        <v>0</v>
      </c>
      <c r="AP75" s="514">
        <f t="shared" si="8"/>
        <v>0</v>
      </c>
      <c r="AQ75" s="514">
        <f t="shared" si="9"/>
        <v>0</v>
      </c>
      <c r="AR75" s="514">
        <f t="shared" si="10"/>
        <v>0</v>
      </c>
      <c r="AS75" s="515">
        <f t="shared" si="11"/>
        <v>0</v>
      </c>
      <c r="AT75" s="4"/>
      <c r="AU75" s="4"/>
      <c r="AV75" s="445" t="s">
        <v>975</v>
      </c>
      <c r="AW75" s="441" t="s">
        <v>71</v>
      </c>
      <c r="AX75" s="442">
        <f t="shared" si="0"/>
        <v>4</v>
      </c>
      <c r="AY75" s="442">
        <f t="shared" si="1"/>
        <v>0</v>
      </c>
    </row>
    <row r="76" spans="1:51" ht="15.75" customHeight="1">
      <c r="A76" s="20"/>
      <c r="B76" s="4"/>
      <c r="C76" s="4"/>
      <c r="D76" s="4"/>
      <c r="E76" s="4"/>
      <c r="F76" s="4"/>
      <c r="G76" s="4"/>
      <c r="H76" s="4"/>
      <c r="I76" s="4"/>
      <c r="J76" s="4"/>
      <c r="K76" s="4"/>
      <c r="L76" s="4"/>
      <c r="M76" s="4"/>
      <c r="N76" s="4"/>
      <c r="O76" s="4"/>
      <c r="P76" s="4"/>
      <c r="Q76" s="4"/>
      <c r="R76" s="4"/>
      <c r="S76" s="4"/>
      <c r="T76" s="4"/>
      <c r="U76" s="4"/>
      <c r="V76" s="2"/>
      <c r="W76" s="2"/>
      <c r="X76" s="509">
        <f t="shared" si="2"/>
        <v>0</v>
      </c>
      <c r="Y76" s="510">
        <f t="shared" si="3"/>
        <v>0</v>
      </c>
      <c r="Z76" s="510">
        <f t="shared" si="4"/>
        <v>0</v>
      </c>
      <c r="AA76" s="511">
        <f t="shared" si="6"/>
        <v>0</v>
      </c>
      <c r="AB76" s="503" t="s">
        <v>244</v>
      </c>
      <c r="AC76" s="512">
        <v>227</v>
      </c>
      <c r="AD76" s="508">
        <v>1.2</v>
      </c>
      <c r="AE76" s="506" t="s">
        <v>230</v>
      </c>
      <c r="AF76" s="507">
        <v>0.51</v>
      </c>
      <c r="AG76" s="507">
        <v>0.37</v>
      </c>
      <c r="AH76" s="507">
        <v>0.03</v>
      </c>
      <c r="AI76" s="507">
        <v>0.09</v>
      </c>
      <c r="AJ76" s="508">
        <f t="shared" si="5"/>
        <v>55.196400369323612</v>
      </c>
      <c r="AK76" s="514" t="s">
        <v>561</v>
      </c>
      <c r="AL76" s="529">
        <v>75</v>
      </c>
      <c r="AM76" s="506" t="s">
        <v>230</v>
      </c>
      <c r="AN76" s="508">
        <v>49.6</v>
      </c>
      <c r="AO76" s="513">
        <f t="shared" si="7"/>
        <v>0</v>
      </c>
      <c r="AP76" s="514">
        <f t="shared" si="8"/>
        <v>0</v>
      </c>
      <c r="AQ76" s="514">
        <f t="shared" si="9"/>
        <v>0</v>
      </c>
      <c r="AR76" s="514">
        <f t="shared" si="10"/>
        <v>0</v>
      </c>
      <c r="AS76" s="515">
        <f t="shared" si="11"/>
        <v>0</v>
      </c>
      <c r="AT76" s="4"/>
      <c r="AU76" s="4"/>
      <c r="AV76" s="445" t="s">
        <v>976</v>
      </c>
      <c r="AW76" s="441" t="s">
        <v>1003</v>
      </c>
      <c r="AX76" s="442">
        <f t="shared" si="0"/>
        <v>1</v>
      </c>
      <c r="AY76" s="442">
        <f t="shared" si="1"/>
        <v>0</v>
      </c>
    </row>
    <row r="77" spans="1:51" ht="15.75" customHeight="1">
      <c r="A77" s="20"/>
      <c r="B77" s="4"/>
      <c r="C77" s="4"/>
      <c r="D77" s="4"/>
      <c r="E77" s="4"/>
      <c r="F77" s="4"/>
      <c r="G77" s="4"/>
      <c r="H77" s="4"/>
      <c r="I77" s="4"/>
      <c r="J77" s="4"/>
      <c r="K77" s="4"/>
      <c r="L77" s="4"/>
      <c r="M77" s="4"/>
      <c r="N77" s="4"/>
      <c r="O77" s="4"/>
      <c r="P77" s="4"/>
      <c r="Q77" s="4"/>
      <c r="R77" s="4"/>
      <c r="S77" s="4"/>
      <c r="T77" s="4"/>
      <c r="U77" s="4"/>
      <c r="V77" s="2"/>
      <c r="W77" s="2"/>
      <c r="X77" s="509">
        <f t="shared" si="2"/>
        <v>0</v>
      </c>
      <c r="Y77" s="510">
        <f t="shared" si="3"/>
        <v>0</v>
      </c>
      <c r="Z77" s="510">
        <f t="shared" si="4"/>
        <v>0</v>
      </c>
      <c r="AA77" s="511">
        <f t="shared" si="6"/>
        <v>0</v>
      </c>
      <c r="AB77" s="503" t="s">
        <v>250</v>
      </c>
      <c r="AC77" s="512">
        <v>59</v>
      </c>
      <c r="AD77" s="508">
        <v>1</v>
      </c>
      <c r="AE77" s="506" t="s">
        <v>251</v>
      </c>
      <c r="AF77" s="507">
        <v>0.51</v>
      </c>
      <c r="AG77" s="507">
        <v>0.37</v>
      </c>
      <c r="AH77" s="507">
        <v>0.03</v>
      </c>
      <c r="AI77" s="507">
        <v>0.09</v>
      </c>
      <c r="AJ77" s="508">
        <f t="shared" si="5"/>
        <v>14.346200977048868</v>
      </c>
      <c r="AK77" s="514" t="s">
        <v>561</v>
      </c>
      <c r="AL77" s="529">
        <v>75</v>
      </c>
      <c r="AM77" s="506" t="s">
        <v>252</v>
      </c>
      <c r="AN77" s="508">
        <v>15.6</v>
      </c>
      <c r="AO77" s="513">
        <f t="shared" si="7"/>
        <v>0</v>
      </c>
      <c r="AP77" s="514">
        <f t="shared" si="8"/>
        <v>0</v>
      </c>
      <c r="AQ77" s="514">
        <f t="shared" si="9"/>
        <v>0</v>
      </c>
      <c r="AR77" s="514">
        <f t="shared" si="10"/>
        <v>0</v>
      </c>
      <c r="AS77" s="515">
        <f t="shared" si="11"/>
        <v>0</v>
      </c>
      <c r="AT77" s="4"/>
      <c r="AU77" s="4"/>
      <c r="AV77" s="445" t="s">
        <v>977</v>
      </c>
      <c r="AW77" s="441" t="s">
        <v>1002</v>
      </c>
      <c r="AX77" s="442">
        <f t="shared" si="0"/>
        <v>2</v>
      </c>
      <c r="AY77" s="442">
        <f t="shared" si="1"/>
        <v>0</v>
      </c>
    </row>
    <row r="78" spans="1:51" ht="15.75" customHeight="1">
      <c r="A78" s="20"/>
      <c r="B78" s="4"/>
      <c r="C78" s="4"/>
      <c r="D78" s="4"/>
      <c r="E78" s="4"/>
      <c r="F78" s="4"/>
      <c r="G78" s="4"/>
      <c r="H78" s="4"/>
      <c r="I78" s="4"/>
      <c r="J78" s="4"/>
      <c r="K78" s="4"/>
      <c r="L78" s="4"/>
      <c r="M78" s="4"/>
      <c r="N78" s="4"/>
      <c r="O78" s="4"/>
      <c r="P78" s="4"/>
      <c r="Q78" s="4"/>
      <c r="R78" s="4"/>
      <c r="S78" s="4"/>
      <c r="T78" s="4"/>
      <c r="U78" s="4"/>
      <c r="V78" s="2"/>
      <c r="W78" s="2"/>
      <c r="X78" s="509">
        <f t="shared" si="2"/>
        <v>0</v>
      </c>
      <c r="Y78" s="510">
        <f t="shared" si="3"/>
        <v>0</v>
      </c>
      <c r="Z78" s="510">
        <f t="shared" si="4"/>
        <v>0</v>
      </c>
      <c r="AA78" s="511">
        <f t="shared" si="6"/>
        <v>0</v>
      </c>
      <c r="AB78" s="503" t="s">
        <v>254</v>
      </c>
      <c r="AC78" s="512">
        <v>73</v>
      </c>
      <c r="AD78" s="508">
        <v>1.2</v>
      </c>
      <c r="AE78" s="506" t="s">
        <v>252</v>
      </c>
      <c r="AF78" s="507">
        <v>0.67</v>
      </c>
      <c r="AG78" s="507">
        <v>0.27</v>
      </c>
      <c r="AH78" s="507">
        <v>0</v>
      </c>
      <c r="AI78" s="507">
        <v>0</v>
      </c>
      <c r="AJ78" s="508">
        <f t="shared" si="5"/>
        <v>19.908506291335367</v>
      </c>
      <c r="AK78" s="514" t="s">
        <v>561</v>
      </c>
      <c r="AL78" s="529">
        <v>76</v>
      </c>
      <c r="AM78" s="506" t="s">
        <v>252</v>
      </c>
      <c r="AN78" s="508">
        <v>15.6</v>
      </c>
      <c r="AO78" s="513">
        <f t="shared" si="7"/>
        <v>0</v>
      </c>
      <c r="AP78" s="514">
        <f t="shared" si="8"/>
        <v>0</v>
      </c>
      <c r="AQ78" s="514">
        <f t="shared" si="9"/>
        <v>0</v>
      </c>
      <c r="AR78" s="514">
        <f t="shared" si="10"/>
        <v>0</v>
      </c>
      <c r="AS78" s="515">
        <f t="shared" si="11"/>
        <v>0</v>
      </c>
      <c r="AT78" s="4"/>
      <c r="AU78" s="4"/>
      <c r="AV78" s="445" t="s">
        <v>978</v>
      </c>
      <c r="AW78" s="441" t="s">
        <v>1004</v>
      </c>
      <c r="AX78" s="442">
        <f t="shared" si="0"/>
        <v>3</v>
      </c>
      <c r="AY78" s="442">
        <f t="shared" si="1"/>
        <v>0</v>
      </c>
    </row>
    <row r="79" spans="1:51" ht="15.75" customHeight="1">
      <c r="A79" s="20"/>
      <c r="B79" s="4"/>
      <c r="C79" s="4"/>
      <c r="D79" s="4"/>
      <c r="E79" s="4"/>
      <c r="F79" s="4"/>
      <c r="G79" s="4"/>
      <c r="H79" s="4"/>
      <c r="I79" s="4"/>
      <c r="J79" s="4"/>
      <c r="K79" s="4"/>
      <c r="L79" s="4"/>
      <c r="M79" s="4"/>
      <c r="N79" s="4"/>
      <c r="O79" s="4"/>
      <c r="P79" s="4"/>
      <c r="Q79" s="4"/>
      <c r="R79" s="4"/>
      <c r="S79" s="4"/>
      <c r="T79" s="4"/>
      <c r="U79" s="4"/>
      <c r="V79" s="2"/>
      <c r="W79" s="2"/>
      <c r="X79" s="509">
        <f t="shared" si="2"/>
        <v>0</v>
      </c>
      <c r="Y79" s="510">
        <f t="shared" si="3"/>
        <v>0</v>
      </c>
      <c r="Z79" s="510">
        <f t="shared" si="4"/>
        <v>0</v>
      </c>
      <c r="AA79" s="511">
        <f t="shared" si="6"/>
        <v>0</v>
      </c>
      <c r="AB79" s="503" t="s">
        <v>257</v>
      </c>
      <c r="AC79" s="512">
        <v>52</v>
      </c>
      <c r="AD79" s="508">
        <v>1.2</v>
      </c>
      <c r="AE79" s="506" t="s">
        <v>233</v>
      </c>
      <c r="AF79" s="507">
        <v>0.56999999999999995</v>
      </c>
      <c r="AG79" s="507">
        <v>0.28000000000000003</v>
      </c>
      <c r="AH79" s="507">
        <v>0.01</v>
      </c>
      <c r="AI79" s="507">
        <v>0.13</v>
      </c>
      <c r="AJ79" s="508">
        <f t="shared" si="5"/>
        <v>13.280997943143435</v>
      </c>
      <c r="AK79" s="530" t="s">
        <v>1027</v>
      </c>
      <c r="AL79" s="529">
        <v>50</v>
      </c>
      <c r="AM79" s="506" t="s">
        <v>182</v>
      </c>
      <c r="AN79" s="508">
        <v>25.7</v>
      </c>
      <c r="AO79" s="513">
        <f t="shared" si="7"/>
        <v>0</v>
      </c>
      <c r="AP79" s="514">
        <f t="shared" si="8"/>
        <v>0</v>
      </c>
      <c r="AQ79" s="514">
        <f t="shared" si="9"/>
        <v>0</v>
      </c>
      <c r="AR79" s="514">
        <f t="shared" si="10"/>
        <v>0</v>
      </c>
      <c r="AS79" s="515">
        <f t="shared" si="11"/>
        <v>0</v>
      </c>
      <c r="AT79" s="4"/>
      <c r="AU79" s="4"/>
      <c r="AV79" s="445" t="s">
        <v>979</v>
      </c>
      <c r="AW79" s="441" t="s">
        <v>1002</v>
      </c>
      <c r="AX79" s="442">
        <f t="shared" si="0"/>
        <v>2</v>
      </c>
      <c r="AY79" s="442">
        <f t="shared" si="1"/>
        <v>0</v>
      </c>
    </row>
    <row r="80" spans="1:51" ht="15.75" customHeight="1">
      <c r="A80" s="20"/>
      <c r="B80" s="4"/>
      <c r="C80" s="4"/>
      <c r="D80" s="4"/>
      <c r="E80" s="4"/>
      <c r="F80" s="4"/>
      <c r="G80" s="4"/>
      <c r="H80" s="4"/>
      <c r="I80" s="4"/>
      <c r="J80" s="4"/>
      <c r="K80" s="4"/>
      <c r="L80" s="4"/>
      <c r="M80" s="4"/>
      <c r="N80" s="4"/>
      <c r="O80" s="4"/>
      <c r="P80" s="4"/>
      <c r="Q80" s="4"/>
      <c r="R80" s="4"/>
      <c r="S80" s="4"/>
      <c r="T80" s="4"/>
      <c r="U80" s="4"/>
      <c r="V80" s="2"/>
      <c r="W80" s="2"/>
      <c r="X80" s="509">
        <f t="shared" si="2"/>
        <v>0</v>
      </c>
      <c r="Y80" s="510">
        <f t="shared" si="3"/>
        <v>0</v>
      </c>
      <c r="Z80" s="510">
        <f t="shared" si="4"/>
        <v>0</v>
      </c>
      <c r="AA80" s="511">
        <f t="shared" si="6"/>
        <v>0</v>
      </c>
      <c r="AB80" s="503" t="s">
        <v>266</v>
      </c>
      <c r="AC80" s="512">
        <v>95</v>
      </c>
      <c r="AD80" s="508">
        <v>1.6</v>
      </c>
      <c r="AE80" s="506" t="s">
        <v>233</v>
      </c>
      <c r="AF80" s="507">
        <v>0.56999999999999995</v>
      </c>
      <c r="AG80" s="507">
        <v>0.28000000000000003</v>
      </c>
      <c r="AH80" s="507">
        <v>0.01</v>
      </c>
      <c r="AI80" s="507">
        <v>0.13</v>
      </c>
      <c r="AJ80" s="508">
        <f t="shared" si="5"/>
        <v>24.263361626896657</v>
      </c>
      <c r="AK80" s="530" t="s">
        <v>636</v>
      </c>
      <c r="AL80" s="529">
        <v>92</v>
      </c>
      <c r="AM80" s="506" t="s">
        <v>182</v>
      </c>
      <c r="AN80" s="508">
        <v>25.7</v>
      </c>
      <c r="AO80" s="513">
        <f t="shared" si="7"/>
        <v>0</v>
      </c>
      <c r="AP80" s="514">
        <f t="shared" si="8"/>
        <v>0</v>
      </c>
      <c r="AQ80" s="514">
        <f t="shared" si="9"/>
        <v>0</v>
      </c>
      <c r="AR80" s="514">
        <f t="shared" si="10"/>
        <v>0</v>
      </c>
      <c r="AS80" s="515">
        <f t="shared" si="11"/>
        <v>0</v>
      </c>
      <c r="AT80" s="4"/>
      <c r="AU80" s="4"/>
      <c r="AV80" s="445" t="s">
        <v>980</v>
      </c>
      <c r="AW80" s="441" t="s">
        <v>1003</v>
      </c>
      <c r="AX80" s="442">
        <f t="shared" si="0"/>
        <v>1</v>
      </c>
      <c r="AY80" s="442">
        <f t="shared" si="1"/>
        <v>0</v>
      </c>
    </row>
    <row r="81" spans="1:51" ht="15.75" customHeight="1">
      <c r="A81" s="20"/>
      <c r="B81" s="4"/>
      <c r="C81" s="4"/>
      <c r="D81" s="4"/>
      <c r="E81" s="4"/>
      <c r="F81" s="4"/>
      <c r="G81" s="4"/>
      <c r="H81" s="4"/>
      <c r="I81" s="4"/>
      <c r="J81" s="4"/>
      <c r="K81" s="4"/>
      <c r="L81" s="4"/>
      <c r="M81" s="4"/>
      <c r="N81" s="4"/>
      <c r="O81" s="4"/>
      <c r="P81" s="4"/>
      <c r="Q81" s="4"/>
      <c r="R81" s="4"/>
      <c r="S81" s="4"/>
      <c r="T81" s="4"/>
      <c r="U81" s="4"/>
      <c r="V81" s="2"/>
      <c r="W81" s="2"/>
      <c r="X81" s="509">
        <f t="shared" si="2"/>
        <v>0</v>
      </c>
      <c r="Y81" s="510">
        <f t="shared" si="3"/>
        <v>0</v>
      </c>
      <c r="Z81" s="510">
        <f t="shared" si="4"/>
        <v>0</v>
      </c>
      <c r="AA81" s="511">
        <f t="shared" si="6"/>
        <v>0</v>
      </c>
      <c r="AB81" s="503" t="s">
        <v>270</v>
      </c>
      <c r="AC81" s="512">
        <v>95</v>
      </c>
      <c r="AD81" s="508">
        <v>1.6</v>
      </c>
      <c r="AE81" s="506" t="s">
        <v>233</v>
      </c>
      <c r="AF81" s="507">
        <v>0.56999999999999995</v>
      </c>
      <c r="AG81" s="507">
        <v>0.28000000000000003</v>
      </c>
      <c r="AH81" s="507">
        <v>0.01</v>
      </c>
      <c r="AI81" s="507">
        <v>0.13</v>
      </c>
      <c r="AJ81" s="508">
        <f t="shared" si="5"/>
        <v>24.263361626896657</v>
      </c>
      <c r="AK81" s="530" t="s">
        <v>636</v>
      </c>
      <c r="AL81" s="529">
        <v>92</v>
      </c>
      <c r="AM81" s="506" t="s">
        <v>182</v>
      </c>
      <c r="AN81" s="508">
        <v>25.7</v>
      </c>
      <c r="AO81" s="513">
        <f t="shared" si="7"/>
        <v>0</v>
      </c>
      <c r="AP81" s="514">
        <f t="shared" si="8"/>
        <v>0</v>
      </c>
      <c r="AQ81" s="514">
        <f t="shared" si="9"/>
        <v>0</v>
      </c>
      <c r="AR81" s="514">
        <f t="shared" si="10"/>
        <v>0</v>
      </c>
      <c r="AS81" s="515">
        <f t="shared" si="11"/>
        <v>0</v>
      </c>
      <c r="AT81" s="4"/>
      <c r="AU81" s="4"/>
      <c r="AV81" s="445" t="s">
        <v>981</v>
      </c>
      <c r="AW81" s="441" t="s">
        <v>1003</v>
      </c>
      <c r="AX81" s="442">
        <f t="shared" si="0"/>
        <v>1</v>
      </c>
      <c r="AY81" s="442">
        <f t="shared" si="1"/>
        <v>0</v>
      </c>
    </row>
    <row r="82" spans="1:51" ht="15.75" customHeight="1">
      <c r="A82" s="20"/>
      <c r="B82" s="4"/>
      <c r="C82" s="4"/>
      <c r="D82" s="4"/>
      <c r="E82" s="4"/>
      <c r="F82" s="4"/>
      <c r="G82" s="4"/>
      <c r="H82" s="4"/>
      <c r="I82" s="4"/>
      <c r="J82" s="4"/>
      <c r="K82" s="4"/>
      <c r="L82" s="4"/>
      <c r="M82" s="4"/>
      <c r="N82" s="4"/>
      <c r="O82" s="4"/>
      <c r="P82" s="4"/>
      <c r="Q82" s="4"/>
      <c r="R82" s="4"/>
      <c r="S82" s="4"/>
      <c r="T82" s="4"/>
      <c r="U82" s="4"/>
      <c r="V82" s="2"/>
      <c r="W82" s="2"/>
      <c r="X82" s="509">
        <f t="shared" si="2"/>
        <v>1</v>
      </c>
      <c r="Y82" s="510">
        <f t="shared" si="3"/>
        <v>0</v>
      </c>
      <c r="Z82" s="510">
        <f t="shared" si="4"/>
        <v>0</v>
      </c>
      <c r="AA82" s="511">
        <f t="shared" si="6"/>
        <v>1</v>
      </c>
      <c r="AB82" s="503" t="s">
        <v>170</v>
      </c>
      <c r="AC82" s="512">
        <v>90</v>
      </c>
      <c r="AD82" s="508">
        <v>1</v>
      </c>
      <c r="AE82" s="506" t="s">
        <v>170</v>
      </c>
      <c r="AF82" s="507">
        <v>0.7</v>
      </c>
      <c r="AG82" s="507">
        <v>0.23</v>
      </c>
      <c r="AH82" s="507">
        <v>0.01</v>
      </c>
      <c r="AI82" s="507">
        <v>0.06</v>
      </c>
      <c r="AJ82" s="508">
        <f t="shared" si="5"/>
        <v>25.874346216855763</v>
      </c>
      <c r="AK82" s="514" t="s">
        <v>246</v>
      </c>
      <c r="AL82" s="529">
        <v>67</v>
      </c>
      <c r="AM82" s="506" t="s">
        <v>170</v>
      </c>
      <c r="AN82" s="508">
        <v>14.6</v>
      </c>
      <c r="AO82" s="513">
        <f t="shared" si="7"/>
        <v>25.874346216855763</v>
      </c>
      <c r="AP82" s="514">
        <f t="shared" si="8"/>
        <v>90</v>
      </c>
      <c r="AQ82" s="514">
        <f t="shared" si="9"/>
        <v>14.6</v>
      </c>
      <c r="AR82" s="514">
        <f t="shared" si="10"/>
        <v>67</v>
      </c>
      <c r="AS82" s="515">
        <f t="shared" si="11"/>
        <v>1</v>
      </c>
      <c r="AT82" s="4"/>
      <c r="AU82" s="4"/>
      <c r="AV82" s="445" t="s">
        <v>982</v>
      </c>
      <c r="AW82" s="441" t="s">
        <v>1002</v>
      </c>
      <c r="AX82" s="442">
        <f t="shared" si="0"/>
        <v>2</v>
      </c>
      <c r="AY82" s="442">
        <f t="shared" si="1"/>
        <v>0</v>
      </c>
    </row>
    <row r="83" spans="1:51" ht="15.75" customHeight="1">
      <c r="A83" s="20"/>
      <c r="B83" s="4"/>
      <c r="C83" s="4"/>
      <c r="D83" s="4"/>
      <c r="E83" s="4"/>
      <c r="F83" s="4"/>
      <c r="G83" s="4"/>
      <c r="H83" s="4"/>
      <c r="I83" s="4"/>
      <c r="J83" s="4"/>
      <c r="K83" s="4"/>
      <c r="L83" s="4"/>
      <c r="M83" s="4"/>
      <c r="N83" s="4"/>
      <c r="O83" s="4"/>
      <c r="P83" s="4"/>
      <c r="Q83" s="4"/>
      <c r="R83" s="4"/>
      <c r="S83" s="4"/>
      <c r="T83" s="4"/>
      <c r="U83" s="4"/>
      <c r="V83" s="2"/>
      <c r="W83" s="2"/>
      <c r="X83" s="509">
        <f t="shared" si="2"/>
        <v>0</v>
      </c>
      <c r="Y83" s="510">
        <f t="shared" si="3"/>
        <v>0</v>
      </c>
      <c r="Z83" s="510">
        <f t="shared" si="4"/>
        <v>0</v>
      </c>
      <c r="AA83" s="511">
        <f t="shared" si="6"/>
        <v>0</v>
      </c>
      <c r="AB83" s="503" t="s">
        <v>272</v>
      </c>
      <c r="AC83" s="512">
        <v>95</v>
      </c>
      <c r="AD83" s="508">
        <v>1.6</v>
      </c>
      <c r="AE83" s="506" t="s">
        <v>233</v>
      </c>
      <c r="AF83" s="507">
        <v>0.56999999999999995</v>
      </c>
      <c r="AG83" s="507">
        <v>0.28000000000000003</v>
      </c>
      <c r="AH83" s="507">
        <v>0.01</v>
      </c>
      <c r="AI83" s="507">
        <v>0.13</v>
      </c>
      <c r="AJ83" s="508">
        <f t="shared" si="5"/>
        <v>24.263361626896657</v>
      </c>
      <c r="AK83" s="530" t="s">
        <v>636</v>
      </c>
      <c r="AL83" s="529">
        <v>92</v>
      </c>
      <c r="AM83" s="506" t="s">
        <v>182</v>
      </c>
      <c r="AN83" s="508">
        <v>25.7</v>
      </c>
      <c r="AO83" s="513">
        <f t="shared" si="7"/>
        <v>0</v>
      </c>
      <c r="AP83" s="514">
        <f t="shared" si="8"/>
        <v>0</v>
      </c>
      <c r="AQ83" s="514">
        <f t="shared" si="9"/>
        <v>0</v>
      </c>
      <c r="AR83" s="514">
        <f t="shared" si="10"/>
        <v>0</v>
      </c>
      <c r="AS83" s="515">
        <f t="shared" si="11"/>
        <v>0</v>
      </c>
      <c r="AT83" s="4"/>
      <c r="AU83" s="4"/>
      <c r="AV83" s="445" t="s">
        <v>983</v>
      </c>
      <c r="AW83" s="441" t="s">
        <v>1003</v>
      </c>
      <c r="AX83" s="442">
        <f t="shared" si="0"/>
        <v>1</v>
      </c>
      <c r="AY83" s="442">
        <f t="shared" si="1"/>
        <v>0</v>
      </c>
    </row>
    <row r="84" spans="1:51" ht="15.75" customHeight="1">
      <c r="A84" s="20"/>
      <c r="B84" s="4"/>
      <c r="C84" s="4"/>
      <c r="D84" s="4"/>
      <c r="E84" s="4"/>
      <c r="F84" s="4"/>
      <c r="G84" s="4"/>
      <c r="H84" s="4"/>
      <c r="I84" s="4"/>
      <c r="J84" s="4"/>
      <c r="K84" s="4"/>
      <c r="L84" s="4"/>
      <c r="M84" s="4"/>
      <c r="N84" s="4"/>
      <c r="O84" s="4"/>
      <c r="P84" s="4"/>
      <c r="Q84" s="4"/>
      <c r="R84" s="4"/>
      <c r="S84" s="4"/>
      <c r="T84" s="4"/>
      <c r="U84" s="4"/>
      <c r="V84" s="2"/>
      <c r="W84" s="2"/>
      <c r="X84" s="509">
        <f t="shared" si="2"/>
        <v>0</v>
      </c>
      <c r="Y84" s="510">
        <f t="shared" si="3"/>
        <v>0</v>
      </c>
      <c r="Z84" s="510">
        <f t="shared" si="4"/>
        <v>0</v>
      </c>
      <c r="AA84" s="511">
        <f t="shared" si="6"/>
        <v>0</v>
      </c>
      <c r="AB84" s="503" t="s">
        <v>273</v>
      </c>
      <c r="AC84" s="512">
        <v>66</v>
      </c>
      <c r="AD84" s="508">
        <v>1.1000000000000001</v>
      </c>
      <c r="AE84" s="506" t="s">
        <v>170</v>
      </c>
      <c r="AF84" s="507">
        <v>0.7</v>
      </c>
      <c r="AG84" s="507">
        <v>0.23</v>
      </c>
      <c r="AH84" s="507">
        <v>0.01</v>
      </c>
      <c r="AI84" s="507">
        <v>0.06</v>
      </c>
      <c r="AJ84" s="508">
        <f t="shared" si="5"/>
        <v>18.97452055902756</v>
      </c>
      <c r="AK84" s="530" t="s">
        <v>1027</v>
      </c>
      <c r="AL84" s="529">
        <v>50</v>
      </c>
      <c r="AM84" s="506" t="s">
        <v>170</v>
      </c>
      <c r="AN84" s="508">
        <v>14.6</v>
      </c>
      <c r="AO84" s="513">
        <f t="shared" si="7"/>
        <v>0</v>
      </c>
      <c r="AP84" s="514">
        <f t="shared" si="8"/>
        <v>0</v>
      </c>
      <c r="AQ84" s="514">
        <f t="shared" si="9"/>
        <v>0</v>
      </c>
      <c r="AR84" s="514">
        <f t="shared" si="10"/>
        <v>0</v>
      </c>
      <c r="AS84" s="515">
        <f t="shared" si="11"/>
        <v>0</v>
      </c>
      <c r="AT84" s="4"/>
      <c r="AU84" s="4"/>
      <c r="AV84" s="445" t="s">
        <v>984</v>
      </c>
      <c r="AW84" s="441" t="s">
        <v>71</v>
      </c>
      <c r="AX84" s="442">
        <f t="shared" si="0"/>
        <v>4</v>
      </c>
      <c r="AY84" s="442">
        <f t="shared" si="1"/>
        <v>0</v>
      </c>
    </row>
    <row r="85" spans="1:51" ht="15.75" customHeight="1">
      <c r="A85" s="20"/>
      <c r="B85" s="4"/>
      <c r="C85" s="4"/>
      <c r="D85" s="4"/>
      <c r="E85" s="4"/>
      <c r="F85" s="4"/>
      <c r="G85" s="4"/>
      <c r="H85" s="4"/>
      <c r="I85" s="4"/>
      <c r="J85" s="4"/>
      <c r="K85" s="4"/>
      <c r="L85" s="4"/>
      <c r="M85" s="4"/>
      <c r="N85" s="4"/>
      <c r="O85" s="4"/>
      <c r="P85" s="4"/>
      <c r="Q85" s="4"/>
      <c r="R85" s="4"/>
      <c r="S85" s="4"/>
      <c r="T85" s="4"/>
      <c r="U85" s="4"/>
      <c r="V85" s="2"/>
      <c r="W85" s="2"/>
      <c r="X85" s="509">
        <f t="shared" si="2"/>
        <v>0</v>
      </c>
      <c r="Y85" s="510">
        <f t="shared" si="3"/>
        <v>0</v>
      </c>
      <c r="Z85" s="510">
        <f t="shared" si="4"/>
        <v>0</v>
      </c>
      <c r="AA85" s="511">
        <f t="shared" si="6"/>
        <v>0</v>
      </c>
      <c r="AB85" s="503" t="s">
        <v>182</v>
      </c>
      <c r="AC85" s="512">
        <v>66</v>
      </c>
      <c r="AD85" s="508">
        <v>1.1000000000000001</v>
      </c>
      <c r="AE85" s="506" t="s">
        <v>233</v>
      </c>
      <c r="AF85" s="507">
        <v>0.56999999999999995</v>
      </c>
      <c r="AG85" s="507">
        <v>0.28000000000000003</v>
      </c>
      <c r="AH85" s="507">
        <v>0.01</v>
      </c>
      <c r="AI85" s="507">
        <v>0.13</v>
      </c>
      <c r="AJ85" s="508">
        <f t="shared" si="5"/>
        <v>16.856651235528204</v>
      </c>
      <c r="AK85" s="530" t="s">
        <v>1027</v>
      </c>
      <c r="AL85" s="529">
        <v>50</v>
      </c>
      <c r="AM85" s="506" t="s">
        <v>182</v>
      </c>
      <c r="AN85" s="508">
        <v>25.7</v>
      </c>
      <c r="AO85" s="513">
        <f t="shared" si="7"/>
        <v>0</v>
      </c>
      <c r="AP85" s="514">
        <f t="shared" si="8"/>
        <v>0</v>
      </c>
      <c r="AQ85" s="514">
        <f t="shared" si="9"/>
        <v>0</v>
      </c>
      <c r="AR85" s="514">
        <f t="shared" si="10"/>
        <v>0</v>
      </c>
      <c r="AS85" s="515">
        <f t="shared" si="11"/>
        <v>0</v>
      </c>
      <c r="AT85" s="4"/>
      <c r="AU85" s="4"/>
      <c r="AV85" s="445" t="s">
        <v>985</v>
      </c>
      <c r="AW85" s="441" t="s">
        <v>1004</v>
      </c>
      <c r="AX85" s="442">
        <f t="shared" si="0"/>
        <v>3</v>
      </c>
      <c r="AY85" s="442">
        <f t="shared" si="1"/>
        <v>0</v>
      </c>
    </row>
    <row r="86" spans="1:51" ht="15.75" customHeight="1">
      <c r="A86" s="20"/>
      <c r="B86" s="4"/>
      <c r="C86" s="4"/>
      <c r="D86" s="4"/>
      <c r="E86" s="4"/>
      <c r="F86" s="4"/>
      <c r="G86" s="4"/>
      <c r="H86" s="4"/>
      <c r="I86" s="4"/>
      <c r="J86" s="4"/>
      <c r="K86" s="4"/>
      <c r="L86" s="4"/>
      <c r="M86" s="4"/>
      <c r="N86" s="4"/>
      <c r="O86" s="4"/>
      <c r="P86" s="4"/>
      <c r="Q86" s="4"/>
      <c r="R86" s="4"/>
      <c r="S86" s="4"/>
      <c r="T86" s="4"/>
      <c r="U86" s="4"/>
      <c r="V86" s="2"/>
      <c r="W86" s="2"/>
      <c r="X86" s="509">
        <f t="shared" si="2"/>
        <v>0</v>
      </c>
      <c r="Y86" s="510">
        <f t="shared" si="3"/>
        <v>0</v>
      </c>
      <c r="Z86" s="510">
        <f t="shared" si="4"/>
        <v>0</v>
      </c>
      <c r="AA86" s="511">
        <f t="shared" si="6"/>
        <v>0</v>
      </c>
      <c r="AB86" s="503" t="s">
        <v>278</v>
      </c>
      <c r="AC86" s="512">
        <v>90</v>
      </c>
      <c r="AD86" s="508">
        <v>1</v>
      </c>
      <c r="AE86" s="506" t="s">
        <v>279</v>
      </c>
      <c r="AF86" s="507">
        <v>0.55000000000000004</v>
      </c>
      <c r="AG86" s="507">
        <v>0.31</v>
      </c>
      <c r="AH86" s="507">
        <v>0.02</v>
      </c>
      <c r="AI86" s="507">
        <v>0</v>
      </c>
      <c r="AJ86" s="508">
        <f t="shared" si="5"/>
        <v>21.398562755445255</v>
      </c>
      <c r="AK86" s="530" t="s">
        <v>1027</v>
      </c>
      <c r="AL86" s="529">
        <v>50</v>
      </c>
      <c r="AM86" s="506" t="s">
        <v>280</v>
      </c>
      <c r="AN86" s="508">
        <v>42.1</v>
      </c>
      <c r="AO86" s="513">
        <f t="shared" si="7"/>
        <v>0</v>
      </c>
      <c r="AP86" s="514">
        <f t="shared" si="8"/>
        <v>0</v>
      </c>
      <c r="AQ86" s="514">
        <f t="shared" si="9"/>
        <v>0</v>
      </c>
      <c r="AR86" s="514">
        <f t="shared" si="10"/>
        <v>0</v>
      </c>
      <c r="AS86" s="515">
        <f t="shared" si="11"/>
        <v>0</v>
      </c>
      <c r="AT86" s="4"/>
      <c r="AU86" s="4"/>
      <c r="AV86" s="445" t="s">
        <v>986</v>
      </c>
      <c r="AW86" s="441" t="s">
        <v>1004</v>
      </c>
      <c r="AX86" s="442">
        <f t="shared" si="0"/>
        <v>3</v>
      </c>
      <c r="AY86" s="442">
        <f t="shared" si="1"/>
        <v>0</v>
      </c>
    </row>
    <row r="87" spans="1:51" ht="15.75" customHeight="1">
      <c r="A87" s="20"/>
      <c r="B87" s="4"/>
      <c r="C87" s="4"/>
      <c r="D87" s="4"/>
      <c r="E87" s="4"/>
      <c r="F87" s="4"/>
      <c r="G87" s="4"/>
      <c r="H87" s="4"/>
      <c r="I87" s="4"/>
      <c r="J87" s="4"/>
      <c r="K87" s="4"/>
      <c r="L87" s="4"/>
      <c r="M87" s="4"/>
      <c r="N87" s="4"/>
      <c r="O87" s="4"/>
      <c r="P87" s="4"/>
      <c r="Q87" s="4"/>
      <c r="R87" s="4"/>
      <c r="S87" s="4"/>
      <c r="T87" s="4"/>
      <c r="U87" s="4"/>
      <c r="V87" s="2"/>
      <c r="W87" s="2"/>
      <c r="X87" s="509">
        <f t="shared" si="2"/>
        <v>0</v>
      </c>
      <c r="Y87" s="510">
        <f t="shared" si="3"/>
        <v>0</v>
      </c>
      <c r="Z87" s="510">
        <f t="shared" si="4"/>
        <v>0</v>
      </c>
      <c r="AA87" s="511">
        <f t="shared" si="6"/>
        <v>0</v>
      </c>
      <c r="AB87" s="503" t="s">
        <v>282</v>
      </c>
      <c r="AC87" s="512">
        <v>66</v>
      </c>
      <c r="AD87" s="508">
        <v>1.1000000000000001</v>
      </c>
      <c r="AE87" s="506" t="s">
        <v>233</v>
      </c>
      <c r="AF87" s="507">
        <v>0.56999999999999995</v>
      </c>
      <c r="AG87" s="507">
        <v>0.28000000000000003</v>
      </c>
      <c r="AH87" s="507">
        <v>0.01</v>
      </c>
      <c r="AI87" s="507">
        <v>0.13</v>
      </c>
      <c r="AJ87" s="508">
        <f t="shared" si="5"/>
        <v>16.856651235528204</v>
      </c>
      <c r="AK87" s="530" t="s">
        <v>1027</v>
      </c>
      <c r="AL87" s="529">
        <v>50</v>
      </c>
      <c r="AM87" s="506" t="s">
        <v>182</v>
      </c>
      <c r="AN87" s="508">
        <v>25.7</v>
      </c>
      <c r="AO87" s="513">
        <f t="shared" si="7"/>
        <v>0</v>
      </c>
      <c r="AP87" s="514">
        <f t="shared" si="8"/>
        <v>0</v>
      </c>
      <c r="AQ87" s="514">
        <f t="shared" si="9"/>
        <v>0</v>
      </c>
      <c r="AR87" s="514">
        <f t="shared" si="10"/>
        <v>0</v>
      </c>
      <c r="AS87" s="515">
        <f t="shared" si="11"/>
        <v>0</v>
      </c>
      <c r="AT87" s="4"/>
      <c r="AU87" s="4"/>
      <c r="AV87" s="445" t="s">
        <v>987</v>
      </c>
      <c r="AW87" s="441" t="s">
        <v>1002</v>
      </c>
      <c r="AX87" s="442">
        <f t="shared" si="0"/>
        <v>2</v>
      </c>
      <c r="AY87" s="442">
        <f t="shared" si="1"/>
        <v>0</v>
      </c>
    </row>
    <row r="88" spans="1:51" ht="15.75" customHeight="1">
      <c r="A88" s="20"/>
      <c r="B88" s="4"/>
      <c r="C88" s="4"/>
      <c r="D88" s="4"/>
      <c r="E88" s="4"/>
      <c r="F88" s="4"/>
      <c r="G88" s="4"/>
      <c r="H88" s="4"/>
      <c r="I88" s="4"/>
      <c r="J88" s="4"/>
      <c r="K88" s="4"/>
      <c r="L88" s="4"/>
      <c r="M88" s="4"/>
      <c r="N88" s="4"/>
      <c r="O88" s="4"/>
      <c r="P88" s="4"/>
      <c r="Q88" s="4"/>
      <c r="R88" s="4"/>
      <c r="S88" s="4"/>
      <c r="T88" s="4"/>
      <c r="U88" s="4"/>
      <c r="V88" s="2"/>
      <c r="W88" s="2"/>
      <c r="X88" s="509">
        <f t="shared" si="2"/>
        <v>0</v>
      </c>
      <c r="Y88" s="510">
        <f t="shared" si="3"/>
        <v>0</v>
      </c>
      <c r="Z88" s="510">
        <f t="shared" si="4"/>
        <v>0</v>
      </c>
      <c r="AA88" s="511">
        <f t="shared" si="6"/>
        <v>0</v>
      </c>
      <c r="AB88" s="503" t="s">
        <v>284</v>
      </c>
      <c r="AC88" s="512">
        <v>46</v>
      </c>
      <c r="AD88" s="508">
        <v>1.3</v>
      </c>
      <c r="AE88" s="506" t="s">
        <v>285</v>
      </c>
      <c r="AF88" s="507">
        <v>0.47</v>
      </c>
      <c r="AG88" s="507">
        <v>0.5</v>
      </c>
      <c r="AH88" s="507">
        <v>0.03</v>
      </c>
      <c r="AI88" s="507">
        <v>0</v>
      </c>
      <c r="AJ88" s="508">
        <f t="shared" si="5"/>
        <v>10.748091587842611</v>
      </c>
      <c r="AK88" s="530" t="s">
        <v>636</v>
      </c>
      <c r="AL88" s="529">
        <v>92</v>
      </c>
      <c r="AM88" s="506" t="s">
        <v>286</v>
      </c>
      <c r="AN88" s="508">
        <v>7.3</v>
      </c>
      <c r="AO88" s="513">
        <f t="shared" si="7"/>
        <v>0</v>
      </c>
      <c r="AP88" s="514">
        <f t="shared" si="8"/>
        <v>0</v>
      </c>
      <c r="AQ88" s="514">
        <f t="shared" si="9"/>
        <v>0</v>
      </c>
      <c r="AR88" s="514">
        <f t="shared" si="10"/>
        <v>0</v>
      </c>
      <c r="AS88" s="515">
        <f t="shared" si="11"/>
        <v>0</v>
      </c>
      <c r="AT88" s="4"/>
      <c r="AU88" s="4"/>
      <c r="AV88" s="445" t="s">
        <v>988</v>
      </c>
      <c r="AW88" s="441" t="s">
        <v>1002</v>
      </c>
      <c r="AX88" s="442">
        <f t="shared" si="0"/>
        <v>2</v>
      </c>
      <c r="AY88" s="442">
        <f t="shared" si="1"/>
        <v>0</v>
      </c>
    </row>
    <row r="89" spans="1:51" ht="15.75" customHeight="1">
      <c r="A89" s="20"/>
      <c r="B89" s="4"/>
      <c r="C89" s="4"/>
      <c r="D89" s="4"/>
      <c r="E89" s="4"/>
      <c r="F89" s="4"/>
      <c r="G89" s="4"/>
      <c r="H89" s="4"/>
      <c r="I89" s="4"/>
      <c r="J89" s="4"/>
      <c r="K89" s="4"/>
      <c r="L89" s="4"/>
      <c r="M89" s="4"/>
      <c r="N89" s="4"/>
      <c r="O89" s="4"/>
      <c r="P89" s="4"/>
      <c r="Q89" s="4"/>
      <c r="R89" s="4"/>
      <c r="S89" s="4"/>
      <c r="T89" s="4"/>
      <c r="U89" s="4"/>
      <c r="V89" s="2"/>
      <c r="W89" s="2"/>
      <c r="X89" s="509">
        <f t="shared" si="2"/>
        <v>0</v>
      </c>
      <c r="Y89" s="510">
        <f t="shared" si="3"/>
        <v>0</v>
      </c>
      <c r="Z89" s="510">
        <f t="shared" si="4"/>
        <v>0</v>
      </c>
      <c r="AA89" s="511">
        <f t="shared" si="6"/>
        <v>0</v>
      </c>
      <c r="AB89" s="503" t="s">
        <v>289</v>
      </c>
      <c r="AC89" s="512">
        <v>124</v>
      </c>
      <c r="AD89" s="508">
        <v>1</v>
      </c>
      <c r="AE89" s="506" t="s">
        <v>290</v>
      </c>
      <c r="AF89" s="507">
        <v>0.6</v>
      </c>
      <c r="AG89" s="507">
        <v>0.35</v>
      </c>
      <c r="AH89" s="507">
        <v>0.05</v>
      </c>
      <c r="AI89" s="507">
        <v>0</v>
      </c>
      <c r="AJ89" s="508">
        <f t="shared" si="5"/>
        <v>32.901124408707382</v>
      </c>
      <c r="AK89" s="530" t="s">
        <v>238</v>
      </c>
      <c r="AL89" s="529">
        <v>57</v>
      </c>
      <c r="AM89" s="506" t="s">
        <v>291</v>
      </c>
      <c r="AN89" s="508">
        <v>60.2</v>
      </c>
      <c r="AO89" s="513">
        <f t="shared" si="7"/>
        <v>0</v>
      </c>
      <c r="AP89" s="514">
        <f t="shared" si="8"/>
        <v>0</v>
      </c>
      <c r="AQ89" s="514">
        <f t="shared" si="9"/>
        <v>0</v>
      </c>
      <c r="AR89" s="514">
        <f t="shared" si="10"/>
        <v>0</v>
      </c>
      <c r="AS89" s="515">
        <f t="shared" si="11"/>
        <v>0</v>
      </c>
      <c r="AT89" s="4"/>
      <c r="AU89" s="4"/>
      <c r="AV89" s="445" t="s">
        <v>989</v>
      </c>
      <c r="AW89" s="441" t="s">
        <v>1003</v>
      </c>
      <c r="AX89" s="442">
        <f t="shared" si="0"/>
        <v>1</v>
      </c>
      <c r="AY89" s="442">
        <f t="shared" si="1"/>
        <v>0</v>
      </c>
    </row>
    <row r="90" spans="1:51" ht="15.75" customHeight="1">
      <c r="A90" s="20"/>
      <c r="B90" s="4"/>
      <c r="C90" s="4"/>
      <c r="D90" s="4"/>
      <c r="E90" s="4"/>
      <c r="F90" s="4"/>
      <c r="G90" s="4"/>
      <c r="H90" s="4"/>
      <c r="I90" s="4"/>
      <c r="J90" s="4"/>
      <c r="K90" s="4"/>
      <c r="L90" s="4"/>
      <c r="M90" s="4"/>
      <c r="N90" s="4"/>
      <c r="O90" s="4"/>
      <c r="P90" s="4"/>
      <c r="Q90" s="4"/>
      <c r="R90" s="4"/>
      <c r="S90" s="4"/>
      <c r="T90" s="4"/>
      <c r="U90" s="4"/>
      <c r="V90" s="2"/>
      <c r="W90" s="2"/>
      <c r="X90" s="509">
        <f t="shared" si="2"/>
        <v>0</v>
      </c>
      <c r="Y90" s="510">
        <f t="shared" si="3"/>
        <v>0</v>
      </c>
      <c r="Z90" s="510">
        <f t="shared" si="4"/>
        <v>0</v>
      </c>
      <c r="AA90" s="511">
        <f t="shared" si="6"/>
        <v>0</v>
      </c>
      <c r="AB90" s="503" t="s">
        <v>292</v>
      </c>
      <c r="AC90" s="512">
        <v>79</v>
      </c>
      <c r="AD90" s="508">
        <v>0.7</v>
      </c>
      <c r="AE90" s="506" t="s">
        <v>290</v>
      </c>
      <c r="AF90" s="507">
        <v>0.6</v>
      </c>
      <c r="AG90" s="507">
        <v>0.35</v>
      </c>
      <c r="AH90" s="507">
        <v>0.05</v>
      </c>
      <c r="AI90" s="507">
        <v>0</v>
      </c>
      <c r="AJ90" s="508">
        <f t="shared" si="5"/>
        <v>20.961200228128092</v>
      </c>
      <c r="AK90" s="530" t="s">
        <v>630</v>
      </c>
      <c r="AL90" s="531">
        <v>56</v>
      </c>
      <c r="AM90" s="506" t="s">
        <v>274</v>
      </c>
      <c r="AN90" s="508">
        <v>42</v>
      </c>
      <c r="AO90" s="513">
        <f t="shared" si="7"/>
        <v>0</v>
      </c>
      <c r="AP90" s="514">
        <f t="shared" si="8"/>
        <v>0</v>
      </c>
      <c r="AQ90" s="514">
        <f t="shared" si="9"/>
        <v>0</v>
      </c>
      <c r="AR90" s="514">
        <f t="shared" si="10"/>
        <v>0</v>
      </c>
      <c r="AS90" s="515">
        <f t="shared" si="11"/>
        <v>0</v>
      </c>
      <c r="AT90" s="4"/>
      <c r="AU90" s="4"/>
      <c r="AV90" s="445" t="s">
        <v>990</v>
      </c>
      <c r="AW90" s="441" t="s">
        <v>1003</v>
      </c>
      <c r="AX90" s="442">
        <f t="shared" si="0"/>
        <v>1</v>
      </c>
      <c r="AY90" s="442">
        <f t="shared" si="1"/>
        <v>0</v>
      </c>
    </row>
    <row r="91" spans="1:51" ht="15.75" customHeight="1">
      <c r="A91" s="20"/>
      <c r="B91" s="4"/>
      <c r="C91" s="4"/>
      <c r="D91" s="4"/>
      <c r="E91" s="4"/>
      <c r="F91" s="4"/>
      <c r="G91" s="4"/>
      <c r="H91" s="4"/>
      <c r="I91" s="4"/>
      <c r="J91" s="4"/>
      <c r="K91" s="4"/>
      <c r="L91" s="4"/>
      <c r="M91" s="4"/>
      <c r="N91" s="4"/>
      <c r="O91" s="4"/>
      <c r="P91" s="4"/>
      <c r="Q91" s="4"/>
      <c r="R91" s="4"/>
      <c r="S91" s="4"/>
      <c r="T91" s="4"/>
      <c r="U91" s="4"/>
      <c r="V91" s="2"/>
      <c r="W91" s="2"/>
      <c r="X91" s="509">
        <f t="shared" si="2"/>
        <v>0</v>
      </c>
      <c r="Y91" s="510">
        <f t="shared" si="3"/>
        <v>0</v>
      </c>
      <c r="Z91" s="510">
        <f t="shared" si="4"/>
        <v>0</v>
      </c>
      <c r="AA91" s="511">
        <f t="shared" si="6"/>
        <v>0</v>
      </c>
      <c r="AB91" s="503" t="s">
        <v>294</v>
      </c>
      <c r="AC91" s="512">
        <v>47</v>
      </c>
      <c r="AD91" s="508">
        <v>1.5</v>
      </c>
      <c r="AE91" s="506" t="s">
        <v>295</v>
      </c>
      <c r="AF91" s="507">
        <v>0.77</v>
      </c>
      <c r="AG91" s="507">
        <v>0.2</v>
      </c>
      <c r="AH91" s="507">
        <v>0.02</v>
      </c>
      <c r="AI91" s="507">
        <v>0</v>
      </c>
      <c r="AJ91" s="508">
        <f t="shared" si="5"/>
        <v>14.255620229429008</v>
      </c>
      <c r="AK91" s="514" t="s">
        <v>246</v>
      </c>
      <c r="AL91" s="529">
        <v>67</v>
      </c>
      <c r="AM91" s="506" t="s">
        <v>296</v>
      </c>
      <c r="AN91" s="508">
        <v>8</v>
      </c>
      <c r="AO91" s="513">
        <f t="shared" si="7"/>
        <v>0</v>
      </c>
      <c r="AP91" s="514">
        <f t="shared" si="8"/>
        <v>0</v>
      </c>
      <c r="AQ91" s="514">
        <f t="shared" si="9"/>
        <v>0</v>
      </c>
      <c r="AR91" s="514">
        <f t="shared" si="10"/>
        <v>0</v>
      </c>
      <c r="AS91" s="515">
        <f t="shared" si="11"/>
        <v>0</v>
      </c>
      <c r="AT91" s="4"/>
      <c r="AU91" s="4"/>
      <c r="AV91" s="445" t="s">
        <v>991</v>
      </c>
      <c r="AW91" s="441" t="s">
        <v>71</v>
      </c>
      <c r="AX91" s="442">
        <f t="shared" si="0"/>
        <v>4</v>
      </c>
      <c r="AY91" s="442">
        <f t="shared" si="1"/>
        <v>0</v>
      </c>
    </row>
    <row r="92" spans="1:51" ht="15.75" customHeight="1">
      <c r="A92" s="20"/>
      <c r="B92" s="4"/>
      <c r="C92" s="4"/>
      <c r="D92" s="4"/>
      <c r="E92" s="4"/>
      <c r="F92" s="4"/>
      <c r="G92" s="4"/>
      <c r="H92" s="4"/>
      <c r="I92" s="4"/>
      <c r="J92" s="4"/>
      <c r="K92" s="4"/>
      <c r="L92" s="4"/>
      <c r="M92" s="4"/>
      <c r="N92" s="4"/>
      <c r="O92" s="4"/>
      <c r="P92" s="4"/>
      <c r="Q92" s="4"/>
      <c r="R92" s="4"/>
      <c r="S92" s="4"/>
      <c r="T92" s="4"/>
      <c r="U92" s="4"/>
      <c r="V92" s="2"/>
      <c r="W92" s="2"/>
      <c r="X92" s="509">
        <f t="shared" si="2"/>
        <v>0</v>
      </c>
      <c r="Y92" s="510">
        <f t="shared" si="3"/>
        <v>0</v>
      </c>
      <c r="Z92" s="510">
        <f t="shared" si="4"/>
        <v>0</v>
      </c>
      <c r="AA92" s="511">
        <f t="shared" si="6"/>
        <v>0</v>
      </c>
      <c r="AB92" s="503" t="s">
        <v>304</v>
      </c>
      <c r="AC92" s="512">
        <v>192</v>
      </c>
      <c r="AD92" s="508">
        <v>1.5</v>
      </c>
      <c r="AE92" s="506" t="s">
        <v>295</v>
      </c>
      <c r="AF92" s="507">
        <v>0.77</v>
      </c>
      <c r="AG92" s="507">
        <v>0.2</v>
      </c>
      <c r="AH92" s="507">
        <v>0.02</v>
      </c>
      <c r="AI92" s="507">
        <v>0</v>
      </c>
      <c r="AJ92" s="508">
        <f t="shared" si="5"/>
        <v>58.235725192561056</v>
      </c>
      <c r="AK92" s="514" t="s">
        <v>246</v>
      </c>
      <c r="AL92" s="529">
        <v>67</v>
      </c>
      <c r="AM92" s="506" t="s">
        <v>296</v>
      </c>
      <c r="AN92" s="508">
        <v>8</v>
      </c>
      <c r="AO92" s="513">
        <f t="shared" si="7"/>
        <v>0</v>
      </c>
      <c r="AP92" s="514">
        <f t="shared" si="8"/>
        <v>0</v>
      </c>
      <c r="AQ92" s="514">
        <f t="shared" si="9"/>
        <v>0</v>
      </c>
      <c r="AR92" s="514">
        <f t="shared" si="10"/>
        <v>0</v>
      </c>
      <c r="AS92" s="515">
        <f t="shared" si="11"/>
        <v>0</v>
      </c>
      <c r="AT92" s="4"/>
      <c r="AU92" s="4"/>
      <c r="AV92" s="445" t="s">
        <v>992</v>
      </c>
      <c r="AW92" s="441" t="s">
        <v>1004</v>
      </c>
      <c r="AX92" s="442">
        <f t="shared" si="0"/>
        <v>3</v>
      </c>
      <c r="AY92" s="442">
        <f t="shared" si="1"/>
        <v>0</v>
      </c>
    </row>
    <row r="93" spans="1:51" ht="15.75" customHeight="1">
      <c r="A93" s="20"/>
      <c r="B93" s="4"/>
      <c r="C93" s="4"/>
      <c r="D93" s="4"/>
      <c r="E93" s="4"/>
      <c r="F93" s="4"/>
      <c r="G93" s="4"/>
      <c r="H93" s="4"/>
      <c r="I93" s="4"/>
      <c r="J93" s="4"/>
      <c r="K93" s="4"/>
      <c r="L93" s="4"/>
      <c r="M93" s="4"/>
      <c r="N93" s="4"/>
      <c r="O93" s="4"/>
      <c r="P93" s="4"/>
      <c r="Q93" s="4"/>
      <c r="R93" s="4"/>
      <c r="S93" s="4"/>
      <c r="T93" s="4"/>
      <c r="U93" s="4"/>
      <c r="V93" s="2"/>
      <c r="W93" s="2"/>
      <c r="X93" s="509">
        <f t="shared" si="2"/>
        <v>0</v>
      </c>
      <c r="Y93" s="510">
        <f t="shared" si="3"/>
        <v>0</v>
      </c>
      <c r="Z93" s="510">
        <f t="shared" si="4"/>
        <v>0</v>
      </c>
      <c r="AA93" s="511">
        <f t="shared" si="6"/>
        <v>0</v>
      </c>
      <c r="AB93" s="503" t="s">
        <v>311</v>
      </c>
      <c r="AC93" s="512">
        <v>72</v>
      </c>
      <c r="AD93" s="508">
        <v>1.5</v>
      </c>
      <c r="AE93" s="506" t="s">
        <v>295</v>
      </c>
      <c r="AF93" s="507">
        <v>0.77</v>
      </c>
      <c r="AG93" s="507">
        <v>0.2</v>
      </c>
      <c r="AH93" s="507">
        <v>0.02</v>
      </c>
      <c r="AI93" s="507">
        <v>0</v>
      </c>
      <c r="AJ93" s="508">
        <f t="shared" si="5"/>
        <v>21.838396947210395</v>
      </c>
      <c r="AK93" s="514" t="s">
        <v>246</v>
      </c>
      <c r="AL93" s="529">
        <v>67</v>
      </c>
      <c r="AM93" s="506" t="s">
        <v>296</v>
      </c>
      <c r="AN93" s="508">
        <v>8</v>
      </c>
      <c r="AO93" s="513">
        <f t="shared" si="7"/>
        <v>0</v>
      </c>
      <c r="AP93" s="514">
        <f t="shared" si="8"/>
        <v>0</v>
      </c>
      <c r="AQ93" s="514">
        <f t="shared" si="9"/>
        <v>0</v>
      </c>
      <c r="AR93" s="514">
        <f t="shared" si="10"/>
        <v>0</v>
      </c>
      <c r="AS93" s="515">
        <f t="shared" si="11"/>
        <v>0</v>
      </c>
      <c r="AT93" s="4"/>
      <c r="AU93" s="4"/>
      <c r="AV93" s="445" t="s">
        <v>993</v>
      </c>
      <c r="AW93" s="441" t="s">
        <v>71</v>
      </c>
      <c r="AX93" s="442">
        <f t="shared" si="0"/>
        <v>4</v>
      </c>
      <c r="AY93" s="442">
        <f t="shared" si="1"/>
        <v>0</v>
      </c>
    </row>
    <row r="94" spans="1:51" ht="15.75" customHeight="1">
      <c r="A94" s="20"/>
      <c r="B94" s="4"/>
      <c r="C94" s="4"/>
      <c r="D94" s="4"/>
      <c r="E94" s="4"/>
      <c r="F94" s="4"/>
      <c r="G94" s="4"/>
      <c r="H94" s="4"/>
      <c r="I94" s="4"/>
      <c r="J94" s="4"/>
      <c r="K94" s="4"/>
      <c r="L94" s="4"/>
      <c r="M94" s="4"/>
      <c r="N94" s="4"/>
      <c r="O94" s="4"/>
      <c r="P94" s="4"/>
      <c r="Q94" s="4"/>
      <c r="R94" s="4"/>
      <c r="S94" s="4"/>
      <c r="T94" s="4"/>
      <c r="U94" s="4"/>
      <c r="V94" s="2"/>
      <c r="W94" s="2"/>
      <c r="X94" s="509">
        <f t="shared" si="2"/>
        <v>0</v>
      </c>
      <c r="Y94" s="510">
        <f t="shared" si="3"/>
        <v>0</v>
      </c>
      <c r="Z94" s="510">
        <f t="shared" si="4"/>
        <v>0</v>
      </c>
      <c r="AA94" s="511">
        <f t="shared" si="6"/>
        <v>0</v>
      </c>
      <c r="AB94" s="503" t="s">
        <v>313</v>
      </c>
      <c r="AC94" s="512">
        <v>107</v>
      </c>
      <c r="AD94" s="508">
        <v>1.5</v>
      </c>
      <c r="AE94" s="506" t="s">
        <v>247</v>
      </c>
      <c r="AF94" s="507">
        <v>0.66</v>
      </c>
      <c r="AG94" s="507">
        <v>0.34</v>
      </c>
      <c r="AH94" s="507">
        <v>0</v>
      </c>
      <c r="AI94" s="507">
        <v>0</v>
      </c>
      <c r="AJ94" s="508">
        <f t="shared" si="5"/>
        <v>29.702409149331611</v>
      </c>
      <c r="AK94" s="514" t="s">
        <v>246</v>
      </c>
      <c r="AL94" s="529">
        <v>67</v>
      </c>
      <c r="AM94" s="506" t="s">
        <v>247</v>
      </c>
      <c r="AN94" s="508">
        <v>11.8</v>
      </c>
      <c r="AO94" s="513">
        <f t="shared" si="7"/>
        <v>0</v>
      </c>
      <c r="AP94" s="514">
        <f t="shared" si="8"/>
        <v>0</v>
      </c>
      <c r="AQ94" s="514">
        <f t="shared" si="9"/>
        <v>0</v>
      </c>
      <c r="AR94" s="514">
        <f t="shared" si="10"/>
        <v>0</v>
      </c>
      <c r="AS94" s="515">
        <f t="shared" si="11"/>
        <v>0</v>
      </c>
      <c r="AT94" s="4"/>
      <c r="AU94" s="4"/>
      <c r="AV94" s="445" t="s">
        <v>52</v>
      </c>
      <c r="AW94" s="441" t="s">
        <v>71</v>
      </c>
      <c r="AX94" s="442">
        <f t="shared" si="0"/>
        <v>4</v>
      </c>
      <c r="AY94" s="442">
        <f t="shared" si="1"/>
        <v>4</v>
      </c>
    </row>
    <row r="95" spans="1:51" ht="15.75" customHeight="1">
      <c r="A95" s="20"/>
      <c r="B95" s="4"/>
      <c r="C95" s="4"/>
      <c r="D95" s="4"/>
      <c r="E95" s="4"/>
      <c r="F95" s="4"/>
      <c r="G95" s="4"/>
      <c r="H95" s="4"/>
      <c r="I95" s="4"/>
      <c r="J95" s="4"/>
      <c r="K95" s="4"/>
      <c r="L95" s="4"/>
      <c r="M95" s="4"/>
      <c r="N95" s="4"/>
      <c r="O95" s="4"/>
      <c r="P95" s="4"/>
      <c r="Q95" s="4"/>
      <c r="R95" s="4"/>
      <c r="S95" s="4"/>
      <c r="T95" s="4"/>
      <c r="U95" s="4"/>
      <c r="V95" s="2"/>
      <c r="W95" s="2"/>
      <c r="X95" s="509">
        <f t="shared" si="2"/>
        <v>0</v>
      </c>
      <c r="Y95" s="510">
        <f t="shared" si="3"/>
        <v>0</v>
      </c>
      <c r="Z95" s="510">
        <f t="shared" si="4"/>
        <v>0</v>
      </c>
      <c r="AA95" s="511">
        <f t="shared" si="6"/>
        <v>0</v>
      </c>
      <c r="AB95" s="503" t="s">
        <v>316</v>
      </c>
      <c r="AC95" s="512">
        <v>31</v>
      </c>
      <c r="AD95" s="508">
        <v>0.8</v>
      </c>
      <c r="AE95" s="506" t="s">
        <v>318</v>
      </c>
      <c r="AF95" s="507">
        <v>0.66</v>
      </c>
      <c r="AG95" s="507">
        <v>0.32</v>
      </c>
      <c r="AH95" s="507">
        <v>0</v>
      </c>
      <c r="AI95" s="507">
        <v>0</v>
      </c>
      <c r="AJ95" s="508">
        <f t="shared" si="5"/>
        <v>8.5304667059200003</v>
      </c>
      <c r="AK95" s="514" t="s">
        <v>246</v>
      </c>
      <c r="AL95" s="529">
        <v>67</v>
      </c>
      <c r="AM95" s="506" t="s">
        <v>318</v>
      </c>
      <c r="AN95" s="508">
        <v>3.4</v>
      </c>
      <c r="AO95" s="513">
        <f t="shared" si="7"/>
        <v>0</v>
      </c>
      <c r="AP95" s="514">
        <f t="shared" si="8"/>
        <v>0</v>
      </c>
      <c r="AQ95" s="514">
        <f t="shared" si="9"/>
        <v>0</v>
      </c>
      <c r="AR95" s="514">
        <f t="shared" si="10"/>
        <v>0</v>
      </c>
      <c r="AS95" s="515">
        <f t="shared" si="11"/>
        <v>0</v>
      </c>
      <c r="AT95" s="4"/>
      <c r="AU95" s="4"/>
      <c r="AV95" s="445" t="s">
        <v>994</v>
      </c>
      <c r="AW95" s="441" t="s">
        <v>1002</v>
      </c>
      <c r="AX95" s="442">
        <f t="shared" si="0"/>
        <v>2</v>
      </c>
      <c r="AY95" s="442">
        <f t="shared" si="1"/>
        <v>0</v>
      </c>
    </row>
    <row r="96" spans="1:51" ht="15.75" customHeight="1">
      <c r="A96" s="20"/>
      <c r="B96" s="4"/>
      <c r="C96" s="4"/>
      <c r="D96" s="4"/>
      <c r="E96" s="4"/>
      <c r="F96" s="4"/>
      <c r="G96" s="4"/>
      <c r="H96" s="4"/>
      <c r="I96" s="4"/>
      <c r="J96" s="4"/>
      <c r="K96" s="4"/>
      <c r="L96" s="4"/>
      <c r="M96" s="4"/>
      <c r="N96" s="4"/>
      <c r="O96" s="4"/>
      <c r="P96" s="4"/>
      <c r="Q96" s="4"/>
      <c r="R96" s="4"/>
      <c r="S96" s="4"/>
      <c r="T96" s="4"/>
      <c r="U96" s="4"/>
      <c r="V96" s="2"/>
      <c r="W96" s="2"/>
      <c r="X96" s="509">
        <f t="shared" si="2"/>
        <v>0</v>
      </c>
      <c r="Y96" s="510">
        <f t="shared" si="3"/>
        <v>0</v>
      </c>
      <c r="Z96" s="510">
        <f t="shared" si="4"/>
        <v>0</v>
      </c>
      <c r="AA96" s="511">
        <f t="shared" si="6"/>
        <v>0</v>
      </c>
      <c r="AB96" s="503" t="s">
        <v>326</v>
      </c>
      <c r="AC96" s="512">
        <v>77</v>
      </c>
      <c r="AD96" s="508">
        <v>1.4</v>
      </c>
      <c r="AE96" s="506" t="s">
        <v>327</v>
      </c>
      <c r="AF96" s="507">
        <v>0.47</v>
      </c>
      <c r="AG96" s="507">
        <v>0.45</v>
      </c>
      <c r="AH96" s="507">
        <v>0.06</v>
      </c>
      <c r="AI96" s="507">
        <v>0</v>
      </c>
      <c r="AJ96" s="508">
        <f t="shared" si="5"/>
        <v>17.897335657241957</v>
      </c>
      <c r="AK96" s="514" t="s">
        <v>246</v>
      </c>
      <c r="AL96" s="529">
        <v>67</v>
      </c>
      <c r="AM96" s="506" t="s">
        <v>265</v>
      </c>
      <c r="AN96" s="508">
        <v>12.6</v>
      </c>
      <c r="AO96" s="513">
        <f t="shared" si="7"/>
        <v>0</v>
      </c>
      <c r="AP96" s="514">
        <f t="shared" si="8"/>
        <v>0</v>
      </c>
      <c r="AQ96" s="514">
        <f t="shared" si="9"/>
        <v>0</v>
      </c>
      <c r="AR96" s="514">
        <f t="shared" si="10"/>
        <v>0</v>
      </c>
      <c r="AS96" s="515">
        <f t="shared" si="11"/>
        <v>0</v>
      </c>
      <c r="AT96" s="4"/>
      <c r="AU96" s="4"/>
      <c r="AV96" s="445" t="s">
        <v>995</v>
      </c>
      <c r="AW96" s="441" t="s">
        <v>1003</v>
      </c>
      <c r="AX96" s="442">
        <f t="shared" si="0"/>
        <v>1</v>
      </c>
      <c r="AY96" s="442">
        <f t="shared" si="1"/>
        <v>0</v>
      </c>
    </row>
    <row r="97" spans="1:51" ht="15.75" customHeight="1">
      <c r="A97" s="20"/>
      <c r="B97" s="4"/>
      <c r="C97" s="4"/>
      <c r="D97" s="4"/>
      <c r="E97" s="4"/>
      <c r="F97" s="4"/>
      <c r="G97" s="4"/>
      <c r="H97" s="4"/>
      <c r="I97" s="4"/>
      <c r="J97" s="4"/>
      <c r="K97" s="4"/>
      <c r="L97" s="4"/>
      <c r="M97" s="4"/>
      <c r="N97" s="4"/>
      <c r="O97" s="4"/>
      <c r="P97" s="4"/>
      <c r="Q97" s="4"/>
      <c r="R97" s="4"/>
      <c r="S97" s="4"/>
      <c r="T97" s="4"/>
      <c r="U97" s="4"/>
      <c r="V97" s="2"/>
      <c r="W97" s="2"/>
      <c r="X97" s="509">
        <f t="shared" si="2"/>
        <v>0</v>
      </c>
      <c r="Y97" s="510">
        <f t="shared" si="3"/>
        <v>0</v>
      </c>
      <c r="Z97" s="510">
        <f t="shared" si="4"/>
        <v>0</v>
      </c>
      <c r="AA97" s="511">
        <f t="shared" si="6"/>
        <v>0</v>
      </c>
      <c r="AB97" s="503" t="s">
        <v>328</v>
      </c>
      <c r="AC97" s="512">
        <v>26</v>
      </c>
      <c r="AD97" s="508">
        <v>0.8</v>
      </c>
      <c r="AE97" s="506" t="s">
        <v>318</v>
      </c>
      <c r="AF97" s="507">
        <v>0.66</v>
      </c>
      <c r="AG97" s="507">
        <v>0.32</v>
      </c>
      <c r="AH97" s="507">
        <v>0</v>
      </c>
      <c r="AI97" s="507">
        <v>0</v>
      </c>
      <c r="AJ97" s="508">
        <f t="shared" si="5"/>
        <v>7.1545849791587095</v>
      </c>
      <c r="AK97" s="514" t="s">
        <v>246</v>
      </c>
      <c r="AL97" s="529">
        <v>67</v>
      </c>
      <c r="AM97" s="506" t="s">
        <v>318</v>
      </c>
      <c r="AN97" s="508">
        <v>3.4</v>
      </c>
      <c r="AO97" s="513">
        <f t="shared" si="7"/>
        <v>0</v>
      </c>
      <c r="AP97" s="514">
        <f t="shared" si="8"/>
        <v>0</v>
      </c>
      <c r="AQ97" s="514">
        <f t="shared" si="9"/>
        <v>0</v>
      </c>
      <c r="AR97" s="514">
        <f t="shared" si="10"/>
        <v>0</v>
      </c>
      <c r="AS97" s="515">
        <f t="shared" si="11"/>
        <v>0</v>
      </c>
      <c r="AT97" s="4"/>
      <c r="AU97" s="4"/>
      <c r="AV97" s="445" t="s">
        <v>996</v>
      </c>
      <c r="AW97" s="441" t="s">
        <v>71</v>
      </c>
      <c r="AX97" s="442">
        <f t="shared" si="0"/>
        <v>4</v>
      </c>
      <c r="AY97" s="442">
        <f t="shared" si="1"/>
        <v>0</v>
      </c>
    </row>
    <row r="98" spans="1:51" ht="15.75" customHeight="1" thickBot="1">
      <c r="A98" s="20"/>
      <c r="B98" s="4"/>
      <c r="C98" s="4"/>
      <c r="D98" s="4"/>
      <c r="E98" s="4"/>
      <c r="F98" s="4"/>
      <c r="G98" s="4"/>
      <c r="H98" s="4"/>
      <c r="I98" s="4"/>
      <c r="J98" s="4"/>
      <c r="K98" s="4"/>
      <c r="L98" s="4"/>
      <c r="M98" s="4"/>
      <c r="N98" s="4"/>
      <c r="O98" s="4"/>
      <c r="P98" s="4"/>
      <c r="Q98" s="4"/>
      <c r="R98" s="4"/>
      <c r="S98" s="4"/>
      <c r="T98" s="4"/>
      <c r="U98" s="4"/>
      <c r="V98" s="2"/>
      <c r="W98" s="2"/>
      <c r="X98" s="509">
        <f t="shared" si="2"/>
        <v>0</v>
      </c>
      <c r="Y98" s="510">
        <f t="shared" si="3"/>
        <v>0</v>
      </c>
      <c r="Z98" s="510">
        <f t="shared" si="4"/>
        <v>0</v>
      </c>
      <c r="AA98" s="511">
        <f t="shared" si="6"/>
        <v>0</v>
      </c>
      <c r="AB98" s="516" t="s">
        <v>335</v>
      </c>
      <c r="AC98" s="517">
        <v>127</v>
      </c>
      <c r="AD98" s="518">
        <v>0.8</v>
      </c>
      <c r="AE98" s="519" t="s">
        <v>318</v>
      </c>
      <c r="AF98" s="520">
        <v>0.66</v>
      </c>
      <c r="AG98" s="520">
        <v>0.32</v>
      </c>
      <c r="AH98" s="520">
        <v>0</v>
      </c>
      <c r="AI98" s="520">
        <v>0</v>
      </c>
      <c r="AJ98" s="521">
        <f t="shared" si="5"/>
        <v>34.947395859736773</v>
      </c>
      <c r="AK98" s="514" t="s">
        <v>246</v>
      </c>
      <c r="AL98" s="529">
        <v>67</v>
      </c>
      <c r="AM98" s="519" t="s">
        <v>318</v>
      </c>
      <c r="AN98" s="521">
        <v>3.4</v>
      </c>
      <c r="AO98" s="522">
        <f t="shared" si="7"/>
        <v>0</v>
      </c>
      <c r="AP98" s="523">
        <f t="shared" si="8"/>
        <v>0</v>
      </c>
      <c r="AQ98" s="523">
        <f t="shared" si="9"/>
        <v>0</v>
      </c>
      <c r="AR98" s="514">
        <f t="shared" si="10"/>
        <v>0</v>
      </c>
      <c r="AS98" s="524">
        <f t="shared" si="11"/>
        <v>0</v>
      </c>
      <c r="AT98" s="4"/>
      <c r="AU98" s="4"/>
      <c r="AV98" s="445" t="s">
        <v>997</v>
      </c>
      <c r="AW98" s="441" t="s">
        <v>1002</v>
      </c>
      <c r="AX98" s="442">
        <f t="shared" si="0"/>
        <v>2</v>
      </c>
      <c r="AY98" s="442">
        <f t="shared" si="1"/>
        <v>0</v>
      </c>
    </row>
    <row r="99" spans="1:51" ht="15.75" customHeight="1" thickBot="1">
      <c r="A99" s="20"/>
      <c r="B99" s="4"/>
      <c r="C99" s="4"/>
      <c r="D99" s="4"/>
      <c r="E99" s="4"/>
      <c r="F99" s="4"/>
      <c r="G99" s="4"/>
      <c r="H99" s="4"/>
      <c r="I99" s="4"/>
      <c r="J99" s="4"/>
      <c r="K99" s="4"/>
      <c r="L99" s="4"/>
      <c r="M99" s="4"/>
      <c r="N99" s="4"/>
      <c r="O99" s="4"/>
      <c r="P99" s="4"/>
      <c r="Q99" s="4"/>
      <c r="R99" s="4"/>
      <c r="S99" s="4"/>
      <c r="T99" s="4"/>
      <c r="U99" s="4"/>
      <c r="V99" s="2"/>
      <c r="W99" s="2"/>
      <c r="X99" s="525">
        <f t="shared" si="2"/>
        <v>0</v>
      </c>
      <c r="Y99" s="526">
        <f t="shared" si="3"/>
        <v>0</v>
      </c>
      <c r="Z99" s="526">
        <f t="shared" si="4"/>
        <v>0</v>
      </c>
      <c r="AA99" s="527">
        <f t="shared" si="6"/>
        <v>0</v>
      </c>
      <c r="AB99" s="528" t="s">
        <v>362</v>
      </c>
      <c r="AC99" s="528"/>
      <c r="AD99" s="536">
        <v>0.7</v>
      </c>
      <c r="AE99" s="528"/>
      <c r="AF99" s="528"/>
      <c r="AG99" s="528"/>
      <c r="AH99" s="528"/>
      <c r="AI99" s="528"/>
      <c r="AJ99" s="528"/>
      <c r="AK99" s="528"/>
      <c r="AL99" s="536">
        <v>55</v>
      </c>
      <c r="AM99" s="528"/>
      <c r="AN99" s="532"/>
      <c r="AO99" s="532"/>
      <c r="AP99" s="532"/>
      <c r="AQ99" s="532"/>
      <c r="AR99" s="532">
        <f t="shared" si="10"/>
        <v>0</v>
      </c>
      <c r="AS99" s="532"/>
      <c r="AT99" s="369"/>
      <c r="AU99" s="4"/>
      <c r="AV99" s="445" t="s">
        <v>998</v>
      </c>
      <c r="AW99" s="441" t="s">
        <v>1004</v>
      </c>
      <c r="AX99" s="442">
        <f t="shared" si="0"/>
        <v>3</v>
      </c>
      <c r="AY99" s="442">
        <f t="shared" si="1"/>
        <v>0</v>
      </c>
    </row>
    <row r="100" spans="1:51" ht="15.75" customHeight="1" thickBot="1">
      <c r="A100" s="20"/>
      <c r="B100" s="4"/>
      <c r="C100" s="4"/>
      <c r="D100" s="4"/>
      <c r="E100" s="4"/>
      <c r="F100" s="4"/>
      <c r="G100" s="4"/>
      <c r="H100" s="4"/>
      <c r="I100" s="4"/>
      <c r="J100" s="4"/>
      <c r="K100" s="4"/>
      <c r="L100" s="4"/>
      <c r="M100" s="4"/>
      <c r="N100" s="4"/>
      <c r="O100" s="4"/>
      <c r="P100" s="4"/>
      <c r="Q100" s="4"/>
      <c r="R100" s="4"/>
      <c r="S100" s="4"/>
      <c r="T100" s="4"/>
      <c r="U100" s="4"/>
      <c r="V100" s="2"/>
      <c r="W100" s="2"/>
      <c r="X100" s="308"/>
      <c r="Y100" s="308"/>
      <c r="Z100" s="411" t="s">
        <v>949</v>
      </c>
      <c r="AA100" s="412">
        <f>SUM(AA59:AA99)</f>
        <v>1</v>
      </c>
      <c r="AB100" s="20"/>
      <c r="AC100" s="20"/>
      <c r="AD100" s="20"/>
      <c r="AE100" s="20"/>
      <c r="AF100" s="20"/>
      <c r="AG100" s="20"/>
      <c r="AH100" s="20"/>
      <c r="AI100" s="20"/>
      <c r="AJ100" s="20"/>
      <c r="AK100" s="308"/>
      <c r="AL100" s="308"/>
      <c r="AM100" s="20"/>
      <c r="AN100" s="533" t="s">
        <v>949</v>
      </c>
      <c r="AO100" s="534">
        <f>SUM(AO59:AO98)</f>
        <v>25.874346216855763</v>
      </c>
      <c r="AP100" s="534">
        <f>SUM(AP59:AP98)</f>
        <v>90</v>
      </c>
      <c r="AQ100" s="534">
        <f>SUM(AQ59:AQ98)</f>
        <v>14.6</v>
      </c>
      <c r="AR100" s="534">
        <f>SUM(AR59:AR98)</f>
        <v>67</v>
      </c>
      <c r="AS100" s="535">
        <f>SUM(AS59:AS98)</f>
        <v>1</v>
      </c>
      <c r="AT100" s="369"/>
      <c r="AU100" s="4"/>
      <c r="AV100" s="445" t="s">
        <v>999</v>
      </c>
      <c r="AW100" s="441" t="s">
        <v>1004</v>
      </c>
      <c r="AX100" s="442">
        <f t="shared" si="0"/>
        <v>3</v>
      </c>
      <c r="AY100" s="442">
        <f t="shared" si="1"/>
        <v>0</v>
      </c>
    </row>
    <row r="101" spans="1:51" ht="15.75" customHeight="1" thickBot="1">
      <c r="A101" s="20"/>
      <c r="B101" s="4"/>
      <c r="C101" s="4"/>
      <c r="D101" s="4"/>
      <c r="E101" s="4"/>
      <c r="F101" s="4"/>
      <c r="G101" s="4"/>
      <c r="H101" s="4"/>
      <c r="I101" s="4"/>
      <c r="J101" s="4"/>
      <c r="K101" s="4"/>
      <c r="L101" s="4"/>
      <c r="M101" s="4"/>
      <c r="N101" s="4"/>
      <c r="O101" s="4"/>
      <c r="P101" s="4"/>
      <c r="Q101" s="4"/>
      <c r="R101" s="4"/>
      <c r="S101" s="4"/>
      <c r="T101" s="4"/>
      <c r="U101" s="4"/>
      <c r="V101" s="2"/>
      <c r="W101" s="2"/>
      <c r="X101" s="20"/>
      <c r="Y101" s="20"/>
      <c r="Z101" s="20"/>
      <c r="AA101" s="20"/>
      <c r="AB101" s="20"/>
      <c r="AC101" s="20"/>
      <c r="AD101" s="20"/>
      <c r="AE101" s="20"/>
      <c r="AF101" s="20"/>
      <c r="AG101" s="20"/>
      <c r="AH101" s="20"/>
      <c r="AI101" s="20"/>
      <c r="AJ101" s="20"/>
      <c r="AK101" s="308"/>
      <c r="AL101" s="308"/>
      <c r="AM101" s="20"/>
      <c r="AN101" s="20"/>
      <c r="AO101" s="20"/>
      <c r="AP101" s="20"/>
      <c r="AQ101" s="20"/>
      <c r="AR101" s="308"/>
      <c r="AS101" s="20"/>
      <c r="AT101" s="4"/>
      <c r="AU101" s="4"/>
      <c r="AV101" s="445" t="s">
        <v>1000</v>
      </c>
      <c r="AW101" s="441" t="s">
        <v>1002</v>
      </c>
      <c r="AX101" s="442">
        <f t="shared" si="0"/>
        <v>2</v>
      </c>
      <c r="AY101" s="442">
        <f t="shared" si="1"/>
        <v>0</v>
      </c>
    </row>
    <row r="102" spans="1:51" ht="15.75" customHeight="1" thickBot="1">
      <c r="A102" s="20"/>
      <c r="B102" s="4"/>
      <c r="C102" s="4"/>
      <c r="D102" s="4"/>
      <c r="E102" s="4"/>
      <c r="F102" s="4"/>
      <c r="G102" s="4"/>
      <c r="H102" s="4"/>
      <c r="I102" s="4"/>
      <c r="J102" s="4"/>
      <c r="K102" s="4"/>
      <c r="L102" s="4"/>
      <c r="M102" s="4"/>
      <c r="N102" s="4"/>
      <c r="O102" s="4"/>
      <c r="P102" s="4"/>
      <c r="Q102" s="4"/>
      <c r="R102" s="4"/>
      <c r="S102" s="4"/>
      <c r="T102" s="4"/>
      <c r="U102" s="4"/>
      <c r="V102" s="2"/>
      <c r="W102" s="2"/>
      <c r="X102" s="11" t="s">
        <v>950</v>
      </c>
      <c r="Y102" s="11"/>
      <c r="Z102" s="11"/>
      <c r="AA102" s="11"/>
      <c r="AB102" s="20"/>
      <c r="AC102" s="20"/>
      <c r="AD102" s="20"/>
      <c r="AE102" s="20"/>
      <c r="AF102" s="20"/>
      <c r="AG102" s="20"/>
      <c r="AH102" s="20"/>
      <c r="AI102" s="20"/>
      <c r="AJ102" s="20"/>
      <c r="AK102" s="308"/>
      <c r="AL102" s="308"/>
      <c r="AM102" s="20"/>
      <c r="AN102" s="20"/>
      <c r="AO102" s="20"/>
      <c r="AP102" s="20"/>
      <c r="AQ102" s="20"/>
      <c r="AR102" s="308"/>
      <c r="AS102" s="20"/>
      <c r="AT102" s="4"/>
      <c r="AU102" s="4"/>
      <c r="AV102" s="442"/>
      <c r="AW102" s="442"/>
      <c r="AX102" s="443" t="s">
        <v>949</v>
      </c>
      <c r="AY102" s="444">
        <f>SUM(AY52:AY101)</f>
        <v>4</v>
      </c>
    </row>
    <row r="103" spans="1:51" ht="15.75" customHeight="1" thickBot="1">
      <c r="A103" s="20"/>
      <c r="B103" s="4"/>
      <c r="C103" s="4"/>
      <c r="D103" s="4"/>
      <c r="E103" s="4"/>
      <c r="F103" s="4"/>
      <c r="G103" s="4"/>
      <c r="H103" s="4"/>
      <c r="I103" s="4"/>
      <c r="J103" s="4"/>
      <c r="K103" s="4"/>
      <c r="L103" s="4"/>
      <c r="M103" s="4"/>
      <c r="N103" s="4"/>
      <c r="O103" s="4"/>
      <c r="P103" s="4"/>
      <c r="Q103" s="4"/>
      <c r="R103" s="4"/>
      <c r="S103" s="4"/>
      <c r="T103" s="4"/>
      <c r="U103" s="4"/>
      <c r="V103" s="2"/>
      <c r="W103" s="2"/>
      <c r="X103" s="16"/>
      <c r="Y103" s="375"/>
      <c r="Z103" s="375"/>
      <c r="AA103" s="375"/>
      <c r="AB103" s="20"/>
      <c r="AC103" s="20"/>
      <c r="AD103" s="20"/>
      <c r="AE103" s="20" t="s">
        <v>952</v>
      </c>
      <c r="AF103" s="20"/>
      <c r="AG103" s="20"/>
      <c r="AH103" s="20"/>
      <c r="AI103" s="20"/>
      <c r="AJ103" s="20"/>
      <c r="AK103" s="308"/>
      <c r="AL103" s="308"/>
      <c r="AM103" s="20"/>
      <c r="AP103" s="20"/>
      <c r="AQ103" s="20"/>
      <c r="AR103" s="308"/>
      <c r="AS103" s="20"/>
      <c r="AT103" s="4"/>
      <c r="AU103" s="4"/>
    </row>
    <row r="104" spans="1:51" ht="15.75" customHeight="1">
      <c r="A104" s="20"/>
      <c r="B104" s="4"/>
      <c r="C104" s="4"/>
      <c r="D104" s="4"/>
      <c r="E104" s="4"/>
      <c r="F104" s="4"/>
      <c r="G104" s="4"/>
      <c r="H104" s="4"/>
      <c r="I104" s="4"/>
      <c r="J104" s="4"/>
      <c r="K104" s="4"/>
      <c r="L104" s="4"/>
      <c r="M104" s="4"/>
      <c r="N104" s="4"/>
      <c r="O104" s="4"/>
      <c r="P104" s="4"/>
      <c r="Q104" s="4"/>
      <c r="R104" s="4"/>
      <c r="S104" s="4"/>
      <c r="T104" s="4"/>
      <c r="U104" s="4"/>
      <c r="V104" s="2"/>
      <c r="W104" s="2"/>
      <c r="X104" s="752" t="s">
        <v>33</v>
      </c>
      <c r="Y104" s="748" t="s">
        <v>37</v>
      </c>
      <c r="Z104" s="748" t="s">
        <v>38</v>
      </c>
      <c r="AA104" s="750" t="s">
        <v>39</v>
      </c>
      <c r="AB104" s="20"/>
      <c r="AC104" s="20"/>
      <c r="AD104" s="20"/>
      <c r="AE104" s="413" t="s">
        <v>375</v>
      </c>
      <c r="AF104" s="413"/>
      <c r="AG104" s="20"/>
      <c r="AH104" s="20"/>
      <c r="AI104" s="20"/>
      <c r="AJ104" s="20"/>
      <c r="AK104" s="308"/>
      <c r="AL104" s="308"/>
      <c r="AM104" s="20"/>
      <c r="AP104" s="20"/>
      <c r="AQ104" s="20"/>
      <c r="AR104" s="308"/>
      <c r="AS104" s="20"/>
      <c r="AT104" s="4"/>
      <c r="AU104" s="4"/>
    </row>
    <row r="105" spans="1:51" ht="15.75" customHeight="1">
      <c r="A105" s="20"/>
      <c r="B105" s="4"/>
      <c r="C105" s="4"/>
      <c r="D105" s="4"/>
      <c r="E105" s="4"/>
      <c r="F105" s="4"/>
      <c r="G105" s="4"/>
      <c r="H105" s="4"/>
      <c r="I105" s="4"/>
      <c r="J105" s="4"/>
      <c r="K105" s="4"/>
      <c r="L105" s="4"/>
      <c r="M105" s="4"/>
      <c r="N105" s="4"/>
      <c r="O105" s="4"/>
      <c r="P105" s="4"/>
      <c r="Q105" s="4"/>
      <c r="R105" s="4"/>
      <c r="S105" s="4"/>
      <c r="T105" s="4"/>
      <c r="U105" s="4"/>
      <c r="V105" s="2"/>
      <c r="W105" s="2"/>
      <c r="X105" s="753"/>
      <c r="Y105" s="749"/>
      <c r="Z105" s="749"/>
      <c r="AA105" s="751"/>
      <c r="AB105" s="20"/>
      <c r="AC105" s="20"/>
      <c r="AD105" s="20"/>
      <c r="AE105" s="414" t="s">
        <v>376</v>
      </c>
      <c r="AF105" s="415">
        <v>106800</v>
      </c>
      <c r="AG105" s="20"/>
      <c r="AH105" s="20"/>
      <c r="AI105" s="20"/>
      <c r="AJ105" s="20"/>
      <c r="AK105" s="308"/>
      <c r="AL105" s="308"/>
      <c r="AM105" s="20"/>
      <c r="AP105" s="20"/>
      <c r="AQ105" s="20"/>
      <c r="AR105" s="308"/>
      <c r="AS105" s="20"/>
      <c r="AT105" s="4"/>
      <c r="AU105" s="4"/>
    </row>
    <row r="106" spans="1:51" ht="15.75" customHeight="1">
      <c r="A106" s="20"/>
      <c r="B106" s="4"/>
      <c r="C106" s="4"/>
      <c r="D106" s="4"/>
      <c r="E106" s="4"/>
      <c r="F106" s="4"/>
      <c r="G106" s="4"/>
      <c r="H106" s="4"/>
      <c r="I106" s="4"/>
      <c r="J106" s="4"/>
      <c r="K106" s="4"/>
      <c r="L106" s="4"/>
      <c r="M106" s="4"/>
      <c r="N106" s="4"/>
      <c r="O106" s="4"/>
      <c r="P106" s="4"/>
      <c r="Q106" s="4"/>
      <c r="R106" s="4"/>
      <c r="S106" s="4"/>
      <c r="T106" s="4"/>
      <c r="U106" s="4"/>
      <c r="V106" s="2"/>
      <c r="W106" s="2"/>
      <c r="X106" s="393">
        <f>_xlfn.IFS(Introduction!$F$33="Urban",1,Introduction!$F$33="Suburban",1,Introduction!$F$33="Rural",0)</f>
        <v>1</v>
      </c>
      <c r="Y106" s="394">
        <f>IF(AY102=1,1,0)</f>
        <v>0</v>
      </c>
      <c r="Z106" s="395">
        <f t="shared" ref="Z106:Z113" si="12">IF($AA$99=100%,1,0)</f>
        <v>0</v>
      </c>
      <c r="AA106" s="396">
        <f>Introduction!AF105*Y106*X106*Z106</f>
        <v>0</v>
      </c>
      <c r="AB106" s="20"/>
      <c r="AC106" s="20"/>
      <c r="AD106" s="20"/>
      <c r="AE106" s="414" t="s">
        <v>377</v>
      </c>
      <c r="AF106" s="415">
        <v>112900</v>
      </c>
      <c r="AG106" s="20"/>
      <c r="AH106" s="20"/>
      <c r="AI106" s="20"/>
      <c r="AJ106" s="20"/>
      <c r="AK106" s="308"/>
      <c r="AL106" s="308"/>
      <c r="AM106" s="20"/>
      <c r="AP106" s="20"/>
      <c r="AQ106" s="20"/>
      <c r="AR106" s="308"/>
      <c r="AS106" s="20"/>
      <c r="AT106" s="4"/>
      <c r="AU106" s="4"/>
    </row>
    <row r="107" spans="1:51" ht="15.75" customHeight="1">
      <c r="A107" s="20"/>
      <c r="B107" s="4"/>
      <c r="C107" s="4"/>
      <c r="D107" s="4"/>
      <c r="E107" s="4"/>
      <c r="F107" s="4"/>
      <c r="G107" s="4"/>
      <c r="H107" s="4"/>
      <c r="I107" s="4"/>
      <c r="J107" s="4"/>
      <c r="K107" s="4"/>
      <c r="L107" s="4"/>
      <c r="M107" s="4"/>
      <c r="N107" s="4"/>
      <c r="O107" s="4"/>
      <c r="P107" s="4"/>
      <c r="Q107" s="4"/>
      <c r="R107" s="4"/>
      <c r="S107" s="4"/>
      <c r="T107" s="4"/>
      <c r="U107" s="4"/>
      <c r="V107" s="2"/>
      <c r="W107" s="2"/>
      <c r="X107" s="393">
        <f>_xlfn.IFS(Introduction!$F$33="Urban",0,Introduction!$F$33="Suburban",0,Introduction!$F$33="Rural",1)</f>
        <v>0</v>
      </c>
      <c r="Y107" s="394">
        <f>IF(AY102=1,1,0)</f>
        <v>0</v>
      </c>
      <c r="Z107" s="395">
        <f t="shared" si="12"/>
        <v>0</v>
      </c>
      <c r="AA107" s="396">
        <f>Introduction!AF106*Y107*X107*Z107</f>
        <v>0</v>
      </c>
      <c r="AB107" s="20"/>
      <c r="AC107" s="20"/>
      <c r="AD107" s="20"/>
      <c r="AE107" s="414" t="s">
        <v>378</v>
      </c>
      <c r="AF107" s="415">
        <v>69900</v>
      </c>
      <c r="AG107" s="20"/>
      <c r="AH107" s="20"/>
      <c r="AI107" s="20"/>
      <c r="AJ107" s="20"/>
      <c r="AK107" s="308"/>
      <c r="AL107" s="308"/>
      <c r="AM107" s="20"/>
      <c r="AP107" s="20"/>
      <c r="AQ107" s="20"/>
      <c r="AR107" s="308"/>
      <c r="AS107" s="20"/>
      <c r="AT107" s="4"/>
      <c r="AU107" s="4"/>
    </row>
    <row r="108" spans="1:51" ht="15.75" customHeight="1">
      <c r="A108" s="20"/>
      <c r="B108" s="4"/>
      <c r="C108" s="4"/>
      <c r="D108" s="4"/>
      <c r="E108" s="4"/>
      <c r="F108" s="4"/>
      <c r="G108" s="4"/>
      <c r="H108" s="4"/>
      <c r="I108" s="4"/>
      <c r="J108" s="4"/>
      <c r="K108" s="4"/>
      <c r="L108" s="4"/>
      <c r="M108" s="4"/>
      <c r="N108" s="4"/>
      <c r="O108" s="4"/>
      <c r="P108" s="4"/>
      <c r="Q108" s="4"/>
      <c r="R108" s="4"/>
      <c r="S108" s="4"/>
      <c r="T108" s="4"/>
      <c r="U108" s="4"/>
      <c r="V108" s="2"/>
      <c r="W108" s="2"/>
      <c r="X108" s="393">
        <f>_xlfn.IFS(Introduction!$F$33="Urban",1,Introduction!$F$33="Suburban",1,Introduction!$F$33="Rural",0)</f>
        <v>1</v>
      </c>
      <c r="Y108" s="394">
        <f>IF(AY102=2,1,0)</f>
        <v>0</v>
      </c>
      <c r="Z108" s="395">
        <f t="shared" si="12"/>
        <v>0</v>
      </c>
      <c r="AA108" s="396">
        <f>Introduction!AF107*Y108*X108*Z108</f>
        <v>0</v>
      </c>
      <c r="AB108" s="20"/>
      <c r="AC108" s="20"/>
      <c r="AD108" s="20"/>
      <c r="AE108" s="414" t="s">
        <v>379</v>
      </c>
      <c r="AF108" s="415">
        <v>93100</v>
      </c>
      <c r="AG108" s="20"/>
      <c r="AH108" s="20"/>
      <c r="AI108" s="20"/>
      <c r="AJ108" s="20"/>
      <c r="AK108" s="308"/>
      <c r="AL108" s="308"/>
      <c r="AM108" s="20"/>
      <c r="AP108" s="20"/>
      <c r="AQ108" s="20"/>
      <c r="AR108" s="308"/>
      <c r="AS108" s="20"/>
      <c r="AT108" s="4"/>
      <c r="AU108" s="4"/>
    </row>
    <row r="109" spans="1:51" ht="15.75" customHeight="1">
      <c r="A109" s="20"/>
      <c r="B109" s="4"/>
      <c r="C109" s="4"/>
      <c r="D109" s="4"/>
      <c r="E109" s="4"/>
      <c r="F109" s="4"/>
      <c r="G109" s="4"/>
      <c r="H109" s="4"/>
      <c r="I109" s="4"/>
      <c r="J109" s="4"/>
      <c r="K109" s="4"/>
      <c r="L109" s="4"/>
      <c r="M109" s="4"/>
      <c r="N109" s="4"/>
      <c r="O109" s="4"/>
      <c r="P109" s="4"/>
      <c r="Q109" s="4"/>
      <c r="R109" s="4"/>
      <c r="S109" s="4"/>
      <c r="T109" s="4"/>
      <c r="U109" s="4"/>
      <c r="V109" s="2"/>
      <c r="W109" s="2"/>
      <c r="X109" s="393">
        <f>_xlfn.IFS(Introduction!$F$33="Urban",0,Introduction!$F$33="Suburban",0,Introduction!$F$33="Rural",1)</f>
        <v>0</v>
      </c>
      <c r="Y109" s="394">
        <f>IF(AY102=2,1,0)</f>
        <v>0</v>
      </c>
      <c r="Z109" s="395">
        <f t="shared" si="12"/>
        <v>0</v>
      </c>
      <c r="AA109" s="396">
        <f>Introduction!AF108*Y109*X109*Z109</f>
        <v>0</v>
      </c>
      <c r="AB109" s="20"/>
      <c r="AC109" s="20"/>
      <c r="AD109" s="20"/>
      <c r="AE109" s="414" t="s">
        <v>380</v>
      </c>
      <c r="AF109" s="415">
        <v>112800</v>
      </c>
      <c r="AG109" s="20"/>
      <c r="AH109" s="20"/>
      <c r="AI109" s="20"/>
      <c r="AJ109" s="20"/>
      <c r="AK109" s="308"/>
      <c r="AL109" s="308"/>
      <c r="AM109" s="20"/>
      <c r="AP109" s="20"/>
      <c r="AQ109" s="20"/>
      <c r="AR109" s="308"/>
      <c r="AS109" s="20"/>
      <c r="AT109" s="4"/>
      <c r="AU109" s="4"/>
    </row>
    <row r="110" spans="1:51" ht="15.75" customHeight="1">
      <c r="A110" s="20"/>
      <c r="B110" s="4"/>
      <c r="C110" s="4"/>
      <c r="D110" s="4"/>
      <c r="E110" s="4"/>
      <c r="F110" s="4"/>
      <c r="G110" s="4"/>
      <c r="H110" s="4"/>
      <c r="I110" s="4"/>
      <c r="J110" s="4"/>
      <c r="K110" s="4"/>
      <c r="L110" s="4"/>
      <c r="M110" s="4"/>
      <c r="N110" s="4"/>
      <c r="O110" s="4"/>
      <c r="P110" s="4"/>
      <c r="Q110" s="4"/>
      <c r="R110" s="4"/>
      <c r="S110" s="4"/>
      <c r="T110" s="4"/>
      <c r="U110" s="4"/>
      <c r="V110" s="2"/>
      <c r="W110" s="2"/>
      <c r="X110" s="393">
        <f>_xlfn.IFS(Introduction!$F$33="Urban",1,Introduction!$F$33="Suburban",1,Introduction!$F$33="Rural",0)</f>
        <v>1</v>
      </c>
      <c r="Y110" s="394">
        <f>IF(AY102=3,1,0)</f>
        <v>0</v>
      </c>
      <c r="Z110" s="395">
        <f t="shared" si="12"/>
        <v>0</v>
      </c>
      <c r="AA110" s="396">
        <f>Introduction!AF109*Y110*X110*Z110</f>
        <v>0</v>
      </c>
      <c r="AB110" s="20"/>
      <c r="AC110" s="20"/>
      <c r="AD110" s="20"/>
      <c r="AE110" s="414" t="s">
        <v>381</v>
      </c>
      <c r="AF110" s="415">
        <v>111300</v>
      </c>
      <c r="AG110" s="20"/>
      <c r="AH110" s="20"/>
      <c r="AI110" s="20"/>
      <c r="AJ110" s="20"/>
      <c r="AK110" s="308"/>
      <c r="AL110" s="308"/>
      <c r="AM110" s="20"/>
      <c r="AP110" s="20"/>
      <c r="AQ110" s="20"/>
      <c r="AR110" s="308"/>
      <c r="AS110" s="20"/>
      <c r="AT110" s="4"/>
      <c r="AU110" s="4"/>
    </row>
    <row r="111" spans="1:51" ht="15.75" customHeight="1">
      <c r="A111" s="20"/>
      <c r="B111" s="4"/>
      <c r="C111" s="4"/>
      <c r="D111" s="4"/>
      <c r="E111" s="4"/>
      <c r="F111" s="4"/>
      <c r="G111" s="4"/>
      <c r="H111" s="4"/>
      <c r="I111" s="4"/>
      <c r="J111" s="4"/>
      <c r="K111" s="4"/>
      <c r="L111" s="4"/>
      <c r="M111" s="4"/>
      <c r="N111" s="4"/>
      <c r="O111" s="4"/>
      <c r="P111" s="4"/>
      <c r="Q111" s="4"/>
      <c r="R111" s="4"/>
      <c r="S111" s="4"/>
      <c r="T111" s="4"/>
      <c r="U111" s="4"/>
      <c r="V111" s="2"/>
      <c r="W111" s="2"/>
      <c r="X111" s="393">
        <f>_xlfn.IFS(Introduction!$F$33="Urban",0,Introduction!$F$33="Suburban",0,Introduction!$F$33="Rural",1)</f>
        <v>0</v>
      </c>
      <c r="Y111" s="394">
        <f>IF(AY102=3,1,0)</f>
        <v>0</v>
      </c>
      <c r="Z111" s="395">
        <f t="shared" si="12"/>
        <v>0</v>
      </c>
      <c r="AA111" s="396">
        <f>Introduction!AF110*Y111*X111*Z111</f>
        <v>0</v>
      </c>
      <c r="AB111" s="20"/>
      <c r="AC111" s="20"/>
      <c r="AD111" s="20"/>
      <c r="AE111" s="414" t="s">
        <v>382</v>
      </c>
      <c r="AF111" s="415">
        <v>74000</v>
      </c>
      <c r="AG111" s="20"/>
      <c r="AH111" s="20"/>
      <c r="AI111" s="20"/>
      <c r="AJ111" s="20"/>
      <c r="AK111" s="308"/>
      <c r="AL111" s="308"/>
      <c r="AM111" s="20"/>
      <c r="AP111" s="20"/>
      <c r="AQ111" s="20"/>
      <c r="AR111" s="308"/>
      <c r="AS111" s="20"/>
      <c r="AT111" s="4"/>
      <c r="AU111" s="4"/>
    </row>
    <row r="112" spans="1:51" ht="15.75" customHeight="1">
      <c r="A112" s="20"/>
      <c r="B112" s="4"/>
      <c r="C112" s="4"/>
      <c r="D112" s="4"/>
      <c r="E112" s="4"/>
      <c r="F112" s="4"/>
      <c r="G112" s="4"/>
      <c r="H112" s="4"/>
      <c r="I112" s="4"/>
      <c r="J112" s="4"/>
      <c r="K112" s="4"/>
      <c r="L112" s="4"/>
      <c r="M112" s="4"/>
      <c r="N112" s="4"/>
      <c r="O112" s="4"/>
      <c r="P112" s="4"/>
      <c r="Q112" s="4"/>
      <c r="R112" s="4"/>
      <c r="S112" s="4"/>
      <c r="T112" s="4"/>
      <c r="U112" s="4"/>
      <c r="V112" s="2"/>
      <c r="W112" s="2"/>
      <c r="X112" s="393">
        <f>_xlfn.IFS(Introduction!$F$33="Urban",1,Introduction!$F$33="Suburban",1,Introduction!$F$33="Rural",0)</f>
        <v>1</v>
      </c>
      <c r="Y112" s="394">
        <f>IF(AY102=4,1,0)</f>
        <v>1</v>
      </c>
      <c r="Z112" s="395">
        <f t="shared" si="12"/>
        <v>0</v>
      </c>
      <c r="AA112" s="396">
        <f>Introduction!AF111*Y112*X112*Z112</f>
        <v>0</v>
      </c>
      <c r="AB112" s="20"/>
      <c r="AC112" s="20"/>
      <c r="AD112" s="20"/>
      <c r="AE112" s="414" t="s">
        <v>383</v>
      </c>
      <c r="AF112" s="415">
        <v>81800</v>
      </c>
      <c r="AG112" s="20"/>
      <c r="AH112" s="20"/>
      <c r="AI112" s="20"/>
      <c r="AJ112" s="20"/>
      <c r="AK112" s="308"/>
      <c r="AL112" s="308"/>
      <c r="AM112" s="20"/>
      <c r="AP112" s="20"/>
      <c r="AQ112" s="20"/>
      <c r="AR112" s="308"/>
      <c r="AS112" s="20"/>
      <c r="AT112" s="4"/>
      <c r="AU112" s="4"/>
    </row>
    <row r="113" spans="1:47" ht="15.75" customHeight="1" thickBot="1">
      <c r="A113" s="20"/>
      <c r="B113" s="4"/>
      <c r="C113" s="4"/>
      <c r="D113" s="4"/>
      <c r="E113" s="4"/>
      <c r="F113" s="4"/>
      <c r="G113" s="4"/>
      <c r="H113" s="4"/>
      <c r="I113" s="4"/>
      <c r="J113" s="4"/>
      <c r="K113" s="4"/>
      <c r="L113" s="4"/>
      <c r="M113" s="4"/>
      <c r="N113" s="4"/>
      <c r="O113" s="4"/>
      <c r="P113" s="4"/>
      <c r="Q113" s="4"/>
      <c r="R113" s="4"/>
      <c r="S113" s="4"/>
      <c r="T113" s="4"/>
      <c r="U113" s="4"/>
      <c r="V113" s="2"/>
      <c r="W113" s="2"/>
      <c r="X113" s="397">
        <f>_xlfn.IFS(Introduction!$F$33="Urban",0,Introduction!$F$33="Suburban",0,Introduction!$F$33="Rural",1)</f>
        <v>0</v>
      </c>
      <c r="Y113" s="394">
        <f>IF(AY102=4,1,0)</f>
        <v>1</v>
      </c>
      <c r="Z113" s="398">
        <f t="shared" si="12"/>
        <v>0</v>
      </c>
      <c r="AA113" s="399">
        <f>Introduction!AF112*Y113*X113*Z113</f>
        <v>0</v>
      </c>
      <c r="AB113" s="20"/>
      <c r="AC113" s="20"/>
      <c r="AD113" s="20"/>
      <c r="AE113" s="414"/>
      <c r="AF113" s="414"/>
      <c r="AG113" s="20"/>
      <c r="AH113" s="20"/>
      <c r="AI113" s="20"/>
      <c r="AJ113" s="20"/>
      <c r="AK113" s="308"/>
      <c r="AL113" s="308"/>
      <c r="AM113" s="20"/>
      <c r="AP113" s="20"/>
      <c r="AQ113" s="20"/>
      <c r="AR113" s="308"/>
      <c r="AS113" s="20"/>
      <c r="AT113" s="4"/>
      <c r="AU113" s="4"/>
    </row>
    <row r="114" spans="1:47" ht="15.75" customHeight="1" thickBot="1">
      <c r="A114" s="20"/>
      <c r="B114" s="4"/>
      <c r="C114" s="4"/>
      <c r="D114" s="4"/>
      <c r="E114" s="4"/>
      <c r="F114" s="4"/>
      <c r="G114" s="4"/>
      <c r="H114" s="4"/>
      <c r="I114" s="4"/>
      <c r="J114" s="4"/>
      <c r="K114" s="4"/>
      <c r="L114" s="4"/>
      <c r="M114" s="4"/>
      <c r="N114" s="4"/>
      <c r="O114" s="4"/>
      <c r="P114" s="4"/>
      <c r="Q114" s="4"/>
      <c r="R114" s="4"/>
      <c r="S114" s="4"/>
      <c r="T114" s="4"/>
      <c r="U114" s="4"/>
      <c r="V114" s="2"/>
      <c r="W114" s="2"/>
      <c r="X114" s="307"/>
      <c r="Y114" s="307"/>
      <c r="Z114" s="409" t="s">
        <v>951</v>
      </c>
      <c r="AA114" s="410">
        <f>SUM(AA106:AA113)</f>
        <v>0</v>
      </c>
      <c r="AB114" s="20"/>
      <c r="AC114" s="20"/>
      <c r="AD114" s="20"/>
      <c r="AE114" s="416" t="s">
        <v>387</v>
      </c>
      <c r="AF114" s="414"/>
      <c r="AG114" s="20"/>
      <c r="AH114" s="20"/>
      <c r="AI114" s="20"/>
      <c r="AJ114" s="20"/>
      <c r="AK114" s="308"/>
      <c r="AL114" s="308"/>
      <c r="AM114" s="20"/>
      <c r="AP114" s="20"/>
      <c r="AQ114" s="20"/>
      <c r="AR114" s="308"/>
      <c r="AS114" s="20"/>
      <c r="AT114" s="4"/>
      <c r="AU114" s="4"/>
    </row>
    <row r="115" spans="1:47" ht="15.75" customHeight="1" thickBot="1">
      <c r="A115" s="20"/>
      <c r="B115" s="4"/>
      <c r="C115" s="4"/>
      <c r="D115" s="4"/>
      <c r="E115" s="4"/>
      <c r="F115" s="4"/>
      <c r="G115" s="4"/>
      <c r="H115" s="4"/>
      <c r="I115" s="4"/>
      <c r="J115" s="4"/>
      <c r="K115" s="4"/>
      <c r="L115" s="4"/>
      <c r="M115" s="4"/>
      <c r="N115" s="4"/>
      <c r="O115" s="4"/>
      <c r="P115" s="4"/>
      <c r="Q115" s="4"/>
      <c r="R115" s="4"/>
      <c r="S115" s="4"/>
      <c r="T115" s="4"/>
      <c r="U115" s="4"/>
      <c r="V115" s="2"/>
      <c r="W115" s="2"/>
      <c r="X115" s="3"/>
      <c r="Y115" s="3"/>
      <c r="Z115" s="3"/>
      <c r="AA115" s="3"/>
      <c r="AB115" s="20"/>
      <c r="AC115" s="20"/>
      <c r="AD115" s="20"/>
      <c r="AE115" s="417" t="s">
        <v>203</v>
      </c>
      <c r="AF115" s="417"/>
      <c r="AG115" s="20"/>
      <c r="AH115" s="20"/>
      <c r="AI115" s="20"/>
      <c r="AJ115" s="20"/>
      <c r="AK115" s="308"/>
      <c r="AL115" s="308"/>
      <c r="AM115" s="20"/>
      <c r="AP115" s="20"/>
      <c r="AQ115" s="20"/>
      <c r="AR115" s="308"/>
      <c r="AS115" s="20"/>
      <c r="AT115" s="4"/>
      <c r="AU115" s="4"/>
    </row>
    <row r="116" spans="1:47" ht="15.75" customHeight="1">
      <c r="A116" s="20"/>
      <c r="B116" s="4"/>
      <c r="C116" s="4"/>
      <c r="D116" s="4"/>
      <c r="E116" s="4"/>
      <c r="F116" s="4"/>
      <c r="G116" s="4"/>
      <c r="H116" s="4"/>
      <c r="I116" s="4"/>
      <c r="J116" s="4"/>
      <c r="K116" s="4"/>
      <c r="L116" s="4"/>
      <c r="M116" s="4"/>
      <c r="N116" s="4"/>
      <c r="O116" s="4"/>
      <c r="P116" s="4"/>
      <c r="Q116" s="4"/>
      <c r="R116" s="4"/>
      <c r="S116" s="4"/>
      <c r="T116" s="4"/>
      <c r="U116" s="4"/>
      <c r="V116" s="2"/>
      <c r="W116" s="2"/>
      <c r="X116" s="752" t="s">
        <v>202</v>
      </c>
      <c r="Y116" s="746" t="s">
        <v>203</v>
      </c>
      <c r="Z116" s="748" t="s">
        <v>204</v>
      </c>
      <c r="AA116" s="744" t="s">
        <v>205</v>
      </c>
      <c r="AB116" s="20"/>
      <c r="AC116" s="20"/>
      <c r="AD116" s="20"/>
      <c r="AE116" s="414" t="s">
        <v>388</v>
      </c>
      <c r="AF116" s="418">
        <v>0.45450643776824035</v>
      </c>
      <c r="AG116" s="20"/>
      <c r="AH116" s="20"/>
      <c r="AI116" s="20"/>
      <c r="AJ116" s="20"/>
      <c r="AK116" s="308"/>
      <c r="AL116" s="308"/>
      <c r="AM116" s="20"/>
      <c r="AP116" s="20"/>
      <c r="AQ116" s="20"/>
      <c r="AR116" s="308"/>
      <c r="AS116" s="20"/>
      <c r="AT116" s="4"/>
      <c r="AU116" s="4"/>
    </row>
    <row r="117" spans="1:47" ht="15.75" customHeight="1">
      <c r="A117" s="20"/>
      <c r="B117" s="4"/>
      <c r="C117" s="4"/>
      <c r="D117" s="4"/>
      <c r="E117" s="4"/>
      <c r="F117" s="4"/>
      <c r="G117" s="4"/>
      <c r="H117" s="4"/>
      <c r="I117" s="4"/>
      <c r="J117" s="4"/>
      <c r="K117" s="4"/>
      <c r="L117" s="4"/>
      <c r="M117" s="4"/>
      <c r="N117" s="4"/>
      <c r="O117" s="4"/>
      <c r="P117" s="4"/>
      <c r="Q117" s="4"/>
      <c r="R117" s="4"/>
      <c r="S117" s="4"/>
      <c r="T117" s="4"/>
      <c r="U117" s="4"/>
      <c r="V117" s="2"/>
      <c r="W117" s="2"/>
      <c r="X117" s="753"/>
      <c r="Y117" s="747"/>
      <c r="Z117" s="749"/>
      <c r="AA117" s="745"/>
      <c r="AB117" s="20"/>
      <c r="AC117" s="20"/>
      <c r="AD117" s="20"/>
      <c r="AE117" s="414" t="s">
        <v>389</v>
      </c>
      <c r="AF117" s="418">
        <v>0.44477825464949927</v>
      </c>
      <c r="AG117" s="20"/>
      <c r="AH117" s="20"/>
      <c r="AI117" s="20"/>
      <c r="AJ117" s="20"/>
      <c r="AK117" s="308"/>
      <c r="AL117" s="308"/>
      <c r="AM117" s="20"/>
      <c r="AP117" s="20"/>
      <c r="AQ117" s="20"/>
      <c r="AR117" s="308"/>
      <c r="AS117" s="20"/>
      <c r="AT117" s="4"/>
      <c r="AU117" s="4"/>
    </row>
    <row r="118" spans="1:47" ht="15.75" customHeight="1">
      <c r="A118" s="20"/>
      <c r="B118" s="4"/>
      <c r="C118" s="4"/>
      <c r="D118" s="4"/>
      <c r="E118" s="4"/>
      <c r="F118" s="4"/>
      <c r="G118" s="4"/>
      <c r="H118" s="4"/>
      <c r="I118" s="4"/>
      <c r="J118" s="4"/>
      <c r="K118" s="4"/>
      <c r="L118" s="4"/>
      <c r="M118" s="4"/>
      <c r="N118" s="4"/>
      <c r="O118" s="4"/>
      <c r="P118" s="4"/>
      <c r="Q118" s="4"/>
      <c r="R118" s="4"/>
      <c r="S118" s="4"/>
      <c r="T118" s="4"/>
      <c r="U118" s="4"/>
      <c r="V118" s="2"/>
      <c r="W118" s="2"/>
      <c r="X118" s="753"/>
      <c r="Y118" s="747"/>
      <c r="Z118" s="749"/>
      <c r="AA118" s="745"/>
      <c r="AB118" s="20"/>
      <c r="AC118" s="20"/>
      <c r="AD118" s="20"/>
      <c r="AE118" s="414" t="s">
        <v>271</v>
      </c>
      <c r="AF118" s="418">
        <v>4.492131616595136E-2</v>
      </c>
      <c r="AG118" s="20"/>
      <c r="AH118" s="20"/>
      <c r="AI118" s="20"/>
      <c r="AJ118" s="20"/>
      <c r="AK118" s="308"/>
      <c r="AL118" s="308"/>
      <c r="AM118" s="20"/>
      <c r="AP118" s="20"/>
      <c r="AQ118" s="20"/>
      <c r="AR118" s="308"/>
      <c r="AS118" s="20"/>
      <c r="AT118" s="4"/>
      <c r="AU118" s="4"/>
    </row>
    <row r="119" spans="1:47" ht="15.75" customHeight="1">
      <c r="A119" s="20"/>
      <c r="B119" s="4"/>
      <c r="C119" s="4"/>
      <c r="D119" s="4"/>
      <c r="E119" s="4"/>
      <c r="F119" s="4"/>
      <c r="G119" s="4"/>
      <c r="H119" s="4"/>
      <c r="I119" s="4"/>
      <c r="J119" s="4"/>
      <c r="K119" s="4"/>
      <c r="L119" s="4"/>
      <c r="M119" s="4"/>
      <c r="N119" s="4"/>
      <c r="O119" s="4"/>
      <c r="P119" s="4"/>
      <c r="Q119" s="4"/>
      <c r="R119" s="4"/>
      <c r="S119" s="4"/>
      <c r="T119" s="4"/>
      <c r="U119" s="4"/>
      <c r="V119" s="20"/>
      <c r="W119" s="2"/>
      <c r="X119" s="400">
        <v>0.36</v>
      </c>
      <c r="Y119" s="401">
        <v>0.45450643776824035</v>
      </c>
      <c r="Z119" s="402">
        <f>Y119*$AA$114</f>
        <v>0</v>
      </c>
      <c r="AA119" s="403">
        <f>Z119*X119</f>
        <v>0</v>
      </c>
      <c r="AB119" s="20"/>
      <c r="AC119" s="20"/>
      <c r="AD119" s="20"/>
      <c r="AE119" s="414" t="s">
        <v>390</v>
      </c>
      <c r="AF119" s="418">
        <v>5.5793991416309016E-2</v>
      </c>
      <c r="AG119" s="20"/>
      <c r="AH119" s="20"/>
      <c r="AI119" s="20"/>
      <c r="AJ119" s="20"/>
      <c r="AK119" s="308"/>
      <c r="AL119" s="308"/>
      <c r="AM119" s="20"/>
      <c r="AP119" s="20"/>
      <c r="AQ119" s="20"/>
      <c r="AR119" s="308"/>
      <c r="AS119" s="20"/>
      <c r="AT119" s="4"/>
      <c r="AU119" s="4"/>
    </row>
    <row r="120" spans="1:47" ht="15.75" customHeight="1">
      <c r="A120" s="20"/>
      <c r="B120" s="4"/>
      <c r="C120" s="4"/>
      <c r="D120" s="4"/>
      <c r="E120" s="4"/>
      <c r="F120" s="4"/>
      <c r="G120" s="4"/>
      <c r="H120" s="4"/>
      <c r="I120" s="4"/>
      <c r="J120" s="4"/>
      <c r="K120" s="4"/>
      <c r="L120" s="4"/>
      <c r="M120" s="4"/>
      <c r="N120" s="4"/>
      <c r="O120" s="4"/>
      <c r="P120" s="4"/>
      <c r="Q120" s="4"/>
      <c r="R120" s="4"/>
      <c r="S120" s="4"/>
      <c r="T120" s="4"/>
      <c r="U120" s="4"/>
      <c r="V120" s="20"/>
      <c r="W120" s="2"/>
      <c r="X120" s="400">
        <v>0.12</v>
      </c>
      <c r="Y120" s="401">
        <v>0.44477825464949927</v>
      </c>
      <c r="Z120" s="402">
        <f>Y120*$AA$114</f>
        <v>0</v>
      </c>
      <c r="AA120" s="403">
        <f>Z120*X120</f>
        <v>0</v>
      </c>
      <c r="AB120" s="20"/>
      <c r="AC120" s="20"/>
      <c r="AD120" s="20"/>
      <c r="AE120" s="414"/>
      <c r="AF120" s="414"/>
      <c r="AG120" s="20"/>
      <c r="AH120" s="20"/>
      <c r="AI120" s="20"/>
      <c r="AJ120" s="20"/>
      <c r="AK120" s="308"/>
      <c r="AL120" s="308"/>
      <c r="AM120" s="20"/>
      <c r="AP120" s="20"/>
      <c r="AQ120" s="20"/>
      <c r="AR120" s="308"/>
      <c r="AS120" s="20"/>
      <c r="AT120" s="4"/>
      <c r="AU120" s="4"/>
    </row>
    <row r="121" spans="1:47" ht="15.75" customHeight="1">
      <c r="A121" s="20"/>
      <c r="B121" s="4"/>
      <c r="C121" s="4"/>
      <c r="D121" s="4"/>
      <c r="E121" s="4"/>
      <c r="F121" s="4"/>
      <c r="G121" s="4"/>
      <c r="H121" s="4"/>
      <c r="I121" s="4"/>
      <c r="J121" s="4"/>
      <c r="K121" s="4"/>
      <c r="L121" s="4"/>
      <c r="M121" s="4"/>
      <c r="N121" s="4"/>
      <c r="O121" s="4"/>
      <c r="P121" s="4"/>
      <c r="Q121" s="4"/>
      <c r="R121" s="4"/>
      <c r="S121" s="4"/>
      <c r="T121" s="20"/>
      <c r="U121" s="20"/>
      <c r="V121" s="20"/>
      <c r="W121" s="2"/>
      <c r="X121" s="400">
        <v>0.12</v>
      </c>
      <c r="Y121" s="401">
        <v>4.492131616595136E-2</v>
      </c>
      <c r="Z121" s="402">
        <f>Y121*$AA$114</f>
        <v>0</v>
      </c>
      <c r="AA121" s="403">
        <f>Z121*X121</f>
        <v>0</v>
      </c>
      <c r="AB121" s="20"/>
      <c r="AC121" s="20"/>
      <c r="AD121" s="20"/>
      <c r="AE121" s="414"/>
      <c r="AF121" s="414"/>
      <c r="AG121" s="20"/>
      <c r="AH121" s="20"/>
      <c r="AI121" s="20"/>
      <c r="AJ121" s="20"/>
      <c r="AK121" s="308"/>
      <c r="AL121" s="308"/>
      <c r="AM121" s="20"/>
      <c r="AN121" s="20"/>
      <c r="AO121" s="20"/>
      <c r="AP121" s="20"/>
      <c r="AQ121" s="20"/>
      <c r="AR121" s="308"/>
      <c r="AS121" s="20"/>
      <c r="AT121" s="4"/>
      <c r="AU121" s="4"/>
    </row>
    <row r="122" spans="1:47" ht="15.75" customHeight="1" thickBot="1">
      <c r="A122" s="20"/>
      <c r="B122" s="4"/>
      <c r="C122" s="4"/>
      <c r="D122" s="4"/>
      <c r="E122" s="4"/>
      <c r="F122" s="4"/>
      <c r="G122" s="4"/>
      <c r="H122" s="4"/>
      <c r="I122" s="4"/>
      <c r="J122" s="4"/>
      <c r="K122" s="4"/>
      <c r="L122" s="4"/>
      <c r="M122" s="4"/>
      <c r="N122" s="4"/>
      <c r="O122" s="4"/>
      <c r="P122" s="4"/>
      <c r="Q122" s="4"/>
      <c r="R122" s="4"/>
      <c r="S122" s="4"/>
      <c r="T122" s="20"/>
      <c r="U122" s="20"/>
      <c r="V122" s="20"/>
      <c r="W122" s="2"/>
      <c r="X122" s="404">
        <v>0.16</v>
      </c>
      <c r="Y122" s="401">
        <v>5.5793991416309016E-2</v>
      </c>
      <c r="Z122" s="402">
        <f>Y122*$AA$114</f>
        <v>0</v>
      </c>
      <c r="AA122" s="405">
        <f>Z122*X122</f>
        <v>0</v>
      </c>
      <c r="AB122" s="20"/>
      <c r="AC122" s="20"/>
      <c r="AD122" s="20"/>
      <c r="AE122" s="20"/>
      <c r="AF122" s="20"/>
      <c r="AG122" s="20"/>
      <c r="AH122" s="20"/>
      <c r="AI122" s="20"/>
      <c r="AJ122" s="20"/>
      <c r="AK122" s="308"/>
      <c r="AL122" s="308"/>
      <c r="AM122" s="20"/>
      <c r="AN122" s="20"/>
      <c r="AO122" s="20"/>
      <c r="AP122" s="20"/>
      <c r="AQ122" s="20"/>
      <c r="AR122" s="308"/>
      <c r="AS122" s="20"/>
      <c r="AT122" s="4"/>
      <c r="AU122" s="4"/>
    </row>
    <row r="123" spans="1:47" ht="15.75" customHeight="1" thickBot="1">
      <c r="A123" s="20"/>
      <c r="B123" s="4"/>
      <c r="C123" s="4"/>
      <c r="D123" s="4"/>
      <c r="E123" s="4"/>
      <c r="F123" s="4"/>
      <c r="G123" s="4"/>
      <c r="H123" s="4"/>
      <c r="I123" s="4"/>
      <c r="J123" s="4"/>
      <c r="K123" s="4"/>
      <c r="L123" s="4"/>
      <c r="M123" s="4"/>
      <c r="N123" s="4"/>
      <c r="O123" s="4"/>
      <c r="P123" s="4"/>
      <c r="Q123" s="4"/>
      <c r="R123" s="4"/>
      <c r="S123" s="4"/>
      <c r="T123" s="20"/>
      <c r="U123" s="20"/>
      <c r="V123" s="20"/>
      <c r="W123" s="2"/>
      <c r="X123" s="406" t="s">
        <v>39</v>
      </c>
      <c r="Y123" s="407"/>
      <c r="Z123" s="407"/>
      <c r="AA123" s="408">
        <f>SUM(AA119:AA122)</f>
        <v>0</v>
      </c>
      <c r="AB123" s="20"/>
      <c r="AC123" s="20"/>
      <c r="AD123" s="20"/>
      <c r="AE123" s="20"/>
      <c r="AF123" s="20"/>
      <c r="AG123" s="20"/>
      <c r="AH123" s="20"/>
      <c r="AI123" s="20"/>
      <c r="AJ123" s="20"/>
      <c r="AK123" s="308"/>
      <c r="AL123" s="308"/>
      <c r="AM123" s="20"/>
      <c r="AN123" s="20"/>
      <c r="AO123" s="20"/>
      <c r="AP123" s="20"/>
      <c r="AQ123" s="20"/>
      <c r="AR123" s="308"/>
      <c r="AS123" s="20"/>
      <c r="AT123" s="20"/>
      <c r="AU123" s="20"/>
    </row>
    <row r="124" spans="1:47" ht="15.75" customHeight="1">
      <c r="A124" s="20"/>
      <c r="B124" s="4"/>
      <c r="C124" s="4"/>
      <c r="D124" s="4"/>
      <c r="E124" s="4"/>
      <c r="F124" s="4"/>
      <c r="G124" s="4"/>
      <c r="H124" s="4"/>
      <c r="I124" s="4"/>
      <c r="J124" s="4"/>
      <c r="K124" s="4"/>
      <c r="L124" s="4"/>
      <c r="M124" s="4"/>
      <c r="N124" s="4"/>
      <c r="O124" s="4"/>
      <c r="P124" s="4"/>
      <c r="Q124" s="4"/>
      <c r="R124" s="4"/>
      <c r="S124" s="4"/>
      <c r="T124" s="20"/>
      <c r="U124" s="20"/>
      <c r="V124" s="20"/>
      <c r="W124" s="2"/>
      <c r="X124" s="2"/>
    </row>
    <row r="125" spans="1:47" ht="15.75" customHeight="1">
      <c r="A125" s="20"/>
      <c r="B125" s="4"/>
      <c r="C125" s="4"/>
      <c r="D125" s="4"/>
      <c r="E125" s="4"/>
      <c r="F125" s="4"/>
      <c r="G125" s="4"/>
      <c r="H125" s="4"/>
      <c r="I125" s="4"/>
      <c r="J125" s="4"/>
      <c r="K125" s="4"/>
      <c r="L125" s="4"/>
      <c r="M125" s="4"/>
      <c r="N125" s="4"/>
      <c r="O125" s="4"/>
      <c r="P125" s="4"/>
      <c r="Q125" s="4"/>
      <c r="R125" s="4"/>
      <c r="S125" s="4"/>
      <c r="T125" s="2"/>
      <c r="U125" s="2"/>
      <c r="V125" s="2"/>
      <c r="W125" s="2"/>
      <c r="X125" s="2"/>
    </row>
    <row r="126" spans="1:47" ht="15.75" customHeight="1">
      <c r="A126" s="20"/>
      <c r="B126" s="4"/>
      <c r="C126" s="4"/>
      <c r="D126" s="4"/>
      <c r="E126" s="4"/>
      <c r="F126" s="4"/>
      <c r="G126" s="4"/>
      <c r="H126" s="4"/>
      <c r="I126" s="4"/>
      <c r="J126" s="4"/>
      <c r="K126" s="4"/>
      <c r="L126" s="4"/>
      <c r="M126" s="4"/>
      <c r="N126" s="4"/>
      <c r="O126" s="4"/>
      <c r="P126" s="4"/>
      <c r="Q126" s="4"/>
      <c r="R126" s="4"/>
      <c r="S126" s="4"/>
      <c r="T126" s="2"/>
      <c r="U126" s="2"/>
      <c r="V126" s="2"/>
      <c r="W126" s="2"/>
      <c r="X126" s="2"/>
    </row>
    <row r="127" spans="1:47" ht="15.75" customHeight="1">
      <c r="A127" s="20"/>
      <c r="B127" s="4"/>
      <c r="C127" s="4"/>
      <c r="D127" s="4"/>
      <c r="E127" s="4"/>
      <c r="F127" s="4"/>
      <c r="G127" s="4"/>
      <c r="H127" s="4"/>
      <c r="I127" s="4"/>
      <c r="J127" s="4"/>
      <c r="K127" s="4"/>
      <c r="L127" s="4"/>
      <c r="M127" s="4"/>
      <c r="N127" s="4"/>
      <c r="O127" s="4"/>
      <c r="P127" s="4"/>
      <c r="Q127" s="4"/>
      <c r="R127" s="4"/>
      <c r="S127" s="4"/>
      <c r="T127" s="2"/>
      <c r="U127" s="2"/>
      <c r="V127" s="2"/>
      <c r="W127" s="2"/>
      <c r="X127" s="2"/>
    </row>
    <row r="128" spans="1:47" ht="15.75" customHeight="1">
      <c r="A128" s="20"/>
      <c r="B128" s="4"/>
      <c r="C128" s="4"/>
      <c r="D128" s="4"/>
      <c r="E128" s="4"/>
      <c r="F128" s="4"/>
      <c r="G128" s="4"/>
      <c r="H128" s="4"/>
      <c r="I128" s="4"/>
      <c r="J128" s="4"/>
      <c r="K128" s="4"/>
      <c r="L128" s="4"/>
      <c r="M128" s="4"/>
      <c r="N128" s="4"/>
      <c r="O128" s="4"/>
      <c r="P128" s="4"/>
      <c r="Q128" s="4"/>
      <c r="R128" s="4"/>
      <c r="S128" s="4"/>
      <c r="T128" s="2"/>
      <c r="U128" s="2"/>
      <c r="V128" s="2"/>
      <c r="W128" s="2"/>
      <c r="X128" s="2"/>
    </row>
    <row r="129" spans="1:24" ht="15.75" customHeight="1">
      <c r="A129" s="20"/>
      <c r="B129" s="4"/>
      <c r="C129" s="4"/>
      <c r="D129" s="4"/>
      <c r="E129" s="4"/>
      <c r="F129" s="4"/>
      <c r="G129" s="4"/>
      <c r="H129" s="4"/>
      <c r="I129" s="4"/>
      <c r="J129" s="4"/>
      <c r="K129" s="4"/>
      <c r="L129" s="4"/>
      <c r="M129" s="4"/>
      <c r="N129" s="4"/>
      <c r="O129" s="4"/>
      <c r="P129" s="4"/>
      <c r="Q129" s="4"/>
      <c r="R129" s="4"/>
      <c r="S129" s="4"/>
      <c r="T129" s="2"/>
      <c r="U129" s="2"/>
      <c r="V129" s="2"/>
      <c r="W129" s="2"/>
      <c r="X129" s="2"/>
    </row>
    <row r="130" spans="1:24" ht="15.75" customHeight="1">
      <c r="A130" s="20"/>
      <c r="B130" s="4"/>
      <c r="C130" s="4"/>
      <c r="D130" s="4"/>
      <c r="E130" s="4"/>
      <c r="F130" s="4"/>
      <c r="G130" s="4"/>
      <c r="H130" s="4"/>
      <c r="I130" s="4"/>
      <c r="J130" s="4"/>
      <c r="K130" s="4"/>
      <c r="L130" s="4"/>
      <c r="M130" s="4"/>
      <c r="N130" s="4"/>
      <c r="O130" s="4"/>
      <c r="P130" s="4"/>
      <c r="Q130" s="4"/>
      <c r="R130" s="4"/>
      <c r="S130" s="4"/>
      <c r="T130" s="2"/>
      <c r="U130" s="2"/>
      <c r="V130" s="2"/>
      <c r="W130" s="2"/>
      <c r="X130" s="2"/>
    </row>
    <row r="131" spans="1:24" ht="15.75" customHeight="1">
      <c r="A131" s="20"/>
      <c r="B131" s="4"/>
      <c r="C131" s="4"/>
      <c r="D131" s="4"/>
      <c r="E131" s="4"/>
      <c r="F131" s="4"/>
      <c r="G131" s="4"/>
      <c r="H131" s="4"/>
      <c r="I131" s="4"/>
      <c r="J131" s="4"/>
      <c r="K131" s="4"/>
      <c r="L131" s="4"/>
      <c r="M131" s="4"/>
      <c r="N131" s="4"/>
      <c r="O131" s="4"/>
      <c r="P131" s="4"/>
      <c r="Q131" s="4"/>
      <c r="R131" s="4"/>
      <c r="S131" s="4"/>
      <c r="T131" s="2"/>
      <c r="U131" s="2"/>
      <c r="V131" s="2"/>
      <c r="W131" s="2"/>
      <c r="X131" s="2"/>
    </row>
    <row r="132" spans="1:24" ht="15.75" customHeight="1">
      <c r="A132" s="20"/>
      <c r="B132" s="4"/>
      <c r="C132" s="4"/>
      <c r="D132" s="4"/>
      <c r="E132" s="4"/>
      <c r="F132" s="4"/>
      <c r="G132" s="4"/>
      <c r="H132" s="4"/>
      <c r="I132" s="4"/>
      <c r="J132" s="4"/>
      <c r="K132" s="4"/>
      <c r="L132" s="4"/>
      <c r="M132" s="4"/>
      <c r="N132" s="4"/>
      <c r="O132" s="4"/>
      <c r="P132" s="4"/>
      <c r="Q132" s="4"/>
      <c r="R132" s="4"/>
      <c r="S132" s="4"/>
      <c r="T132" s="2"/>
      <c r="U132" s="2"/>
      <c r="V132" s="2"/>
      <c r="W132" s="2"/>
      <c r="X132" s="2"/>
    </row>
    <row r="133" spans="1:24" ht="15.75" customHeight="1">
      <c r="A133" s="20"/>
      <c r="B133" s="4"/>
      <c r="C133" s="4"/>
      <c r="D133" s="4"/>
      <c r="E133" s="4"/>
      <c r="F133" s="4"/>
      <c r="G133" s="4"/>
      <c r="H133" s="4"/>
      <c r="I133" s="4"/>
      <c r="J133" s="4"/>
      <c r="K133" s="4"/>
      <c r="L133" s="4"/>
      <c r="M133" s="4"/>
      <c r="N133" s="4"/>
      <c r="O133" s="4"/>
      <c r="P133" s="4"/>
      <c r="Q133" s="4"/>
      <c r="R133" s="4"/>
      <c r="S133" s="4"/>
      <c r="T133" s="2"/>
      <c r="U133" s="2"/>
      <c r="V133" s="2"/>
      <c r="W133" s="2"/>
      <c r="X133" s="2"/>
    </row>
    <row r="134" spans="1:24" ht="15.75" customHeight="1">
      <c r="A134" s="20"/>
      <c r="B134" s="4"/>
      <c r="C134" s="4"/>
      <c r="D134" s="4"/>
      <c r="E134" s="4"/>
      <c r="F134" s="4"/>
      <c r="G134" s="4"/>
      <c r="H134" s="4"/>
      <c r="I134" s="4"/>
      <c r="J134" s="2"/>
      <c r="K134" s="2"/>
      <c r="L134" s="2"/>
      <c r="M134" s="2"/>
      <c r="N134" s="2"/>
      <c r="O134" s="2"/>
      <c r="P134" s="2"/>
      <c r="Q134" s="4"/>
      <c r="R134" s="4"/>
      <c r="S134" s="4"/>
      <c r="T134" s="2"/>
      <c r="U134" s="2"/>
      <c r="V134" s="2"/>
      <c r="W134" s="2"/>
      <c r="X134" s="2"/>
    </row>
    <row r="135" spans="1:24" ht="15.75" customHeight="1">
      <c r="A135" s="2"/>
      <c r="B135" s="2"/>
      <c r="C135" s="2"/>
      <c r="D135" s="2"/>
      <c r="E135" s="4"/>
      <c r="F135" s="4"/>
      <c r="G135" s="4"/>
      <c r="H135" s="4"/>
      <c r="I135" s="2"/>
      <c r="J135" s="2"/>
      <c r="K135" s="2"/>
      <c r="L135" s="2"/>
      <c r="M135" s="2"/>
      <c r="N135" s="2"/>
      <c r="O135" s="2"/>
      <c r="P135" s="2"/>
      <c r="Q135" s="2"/>
      <c r="R135" s="2"/>
      <c r="S135" s="2"/>
      <c r="T135" s="2"/>
      <c r="U135" s="2"/>
      <c r="V135" s="2"/>
      <c r="W135" s="2"/>
      <c r="X135" s="2"/>
    </row>
    <row r="136" spans="1:24"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row>
    <row r="137" spans="1:24"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row>
    <row r="138" spans="1:24"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row>
    <row r="139" spans="1:24"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row>
    <row r="140" spans="1:24"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row>
    <row r="141" spans="1:24"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row>
    <row r="142" spans="1:24"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row>
    <row r="143" spans="1:24"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row>
    <row r="144" spans="1:2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row>
    <row r="145" spans="1:24"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row>
    <row r="146" spans="1:24"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row>
    <row r="147" spans="1:24"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row>
    <row r="148" spans="1:24"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row>
    <row r="150" spans="1:24"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row>
    <row r="152" spans="1:24"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row>
    <row r="154" spans="1:2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row>
    <row r="155" spans="1:24"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row>
    <row r="156" spans="1:24"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row>
    <row r="157" spans="1:24"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row>
    <row r="158" spans="1:24"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row>
    <row r="159" spans="1:24"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row>
    <row r="160" spans="1:24"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row>
    <row r="161" spans="1:24"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row>
    <row r="162" spans="1:24"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row>
    <row r="163" spans="1:24"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row>
    <row r="164" spans="1:2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row>
    <row r="165" spans="1:24"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row>
    <row r="166" spans="1:24"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row>
    <row r="167" spans="1:24"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row>
    <row r="168" spans="1:24"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row>
    <row r="169" spans="1:24"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row>
    <row r="170" spans="1:24"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row>
    <row r="171" spans="1:24"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row>
    <row r="173" spans="1:24"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row>
    <row r="175" spans="1:24"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row>
    <row r="177" spans="1:24"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row>
    <row r="178" spans="1:24"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row>
    <row r="179" spans="1:24"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row>
    <row r="180" spans="1:24"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row>
    <row r="181" spans="1:24"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row>
    <row r="182" spans="1:24"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row>
    <row r="183" spans="1:24"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row>
    <row r="184" spans="1:2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row>
    <row r="185" spans="1:24"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row>
    <row r="186" spans="1:24"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row>
    <row r="187" spans="1:24"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row>
    <row r="188" spans="1:24"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row>
    <row r="189" spans="1:24"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row>
    <row r="190" spans="1:24"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row>
    <row r="191" spans="1:24"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row>
    <row r="192" spans="1:24"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row>
    <row r="193" spans="1:24"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row>
    <row r="194" spans="1:2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row>
    <row r="196" spans="1:24"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row>
    <row r="198" spans="1:24"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row>
    <row r="200" spans="1:24"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row>
    <row r="201" spans="1:24"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row>
    <row r="202" spans="1:24"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row>
    <row r="203" spans="1:24"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row>
    <row r="204" spans="1:2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row>
    <row r="205" spans="1:24"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row>
    <row r="206" spans="1:24"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row>
    <row r="207" spans="1:24"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row>
    <row r="208" spans="1:24"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row>
    <row r="209" spans="1:24"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row>
    <row r="210" spans="1:24"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row>
    <row r="211" spans="1:24"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row>
    <row r="212" spans="1:24"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row>
    <row r="213" spans="1:24"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row>
    <row r="214" spans="1:2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row>
    <row r="215" spans="1:24"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row>
    <row r="216" spans="1:24"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row>
    <row r="217" spans="1:24"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row>
    <row r="219" spans="1:24"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row>
    <row r="221" spans="1:24"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row>
    <row r="223" spans="1:24"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row>
    <row r="224" spans="1: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row>
    <row r="225" spans="1:24"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row>
    <row r="226" spans="1:24"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row>
    <row r="227" spans="1:24"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row>
    <row r="228" spans="1:24"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row>
    <row r="229" spans="1:24"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row>
    <row r="230" spans="1:24"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row>
    <row r="231" spans="1:24"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row>
    <row r="232" spans="1:24"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row>
    <row r="233" spans="1:24"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row>
    <row r="234" spans="1:2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row>
    <row r="235" spans="1:24"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row>
    <row r="236" spans="1:24"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row>
    <row r="237" spans="1:24"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row>
    <row r="238" spans="1:24"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row>
    <row r="239" spans="1:24"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row>
    <row r="240" spans="1:24"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row>
    <row r="242" spans="1:24"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row>
    <row r="244" spans="1:24"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row>
    <row r="246" spans="1:24"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row>
    <row r="247" spans="1:24"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row>
    <row r="248" spans="1:24"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row>
    <row r="249" spans="1:24"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row>
    <row r="250" spans="1:24"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row>
    <row r="251" spans="1:24"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row>
    <row r="252" spans="1:24"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row>
    <row r="253" spans="1:24"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row>
    <row r="254" spans="1:2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row>
    <row r="255" spans="1:24"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row>
    <row r="256" spans="1:24"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row>
    <row r="257" spans="1:24"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row>
    <row r="258" spans="1:24"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row>
    <row r="259" spans="1:24"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row>
    <row r="260" spans="1:24"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row>
    <row r="261" spans="1:24"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row>
    <row r="262" spans="1:24"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row>
    <row r="263" spans="1:24"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row>
    <row r="265" spans="1:24"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row>
    <row r="267" spans="1:24"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row>
    <row r="269" spans="1:24"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row>
    <row r="270" spans="1:24"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row>
    <row r="271" spans="1:24"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row>
    <row r="272" spans="1:24"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row>
    <row r="273" spans="1:24"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row>
    <row r="274" spans="1:2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row>
    <row r="275" spans="1:24"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row>
    <row r="276" spans="1:24"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row>
    <row r="277" spans="1:24"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row>
    <row r="278" spans="1:24"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row>
    <row r="279" spans="1:24"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row>
    <row r="280" spans="1:24"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row>
    <row r="281" spans="1:24"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row>
    <row r="282" spans="1:24"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row>
    <row r="283" spans="1:24"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row>
    <row r="284" spans="1:2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row>
    <row r="285" spans="1:24"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row>
    <row r="286" spans="1:24"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row>
    <row r="288" spans="1:24"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row>
    <row r="290" spans="1:24"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row>
    <row r="292" spans="1:24"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row>
    <row r="293" spans="1:24"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row>
    <row r="294" spans="1:24"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row>
    <row r="295" spans="1:24"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row>
    <row r="296" spans="1:24"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row>
    <row r="297" spans="1:24"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row>
    <row r="298" spans="1:24"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row>
    <row r="299" spans="1:24"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row>
    <row r="300" spans="1:24"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row>
    <row r="301" spans="1:24"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row>
    <row r="302" spans="1:24"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row>
    <row r="303" spans="1:24"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row>
    <row r="304" spans="1:24"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row>
    <row r="305" spans="1:24"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row>
    <row r="306" spans="1:24"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row>
    <row r="307" spans="1:24"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row>
    <row r="308" spans="1:24"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row>
    <row r="309" spans="1:24"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row>
    <row r="311" spans="1:24"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row>
    <row r="313" spans="1:24"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row>
    <row r="315" spans="1:24"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row>
    <row r="316" spans="1:24"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row>
    <row r="317" spans="1:24"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row>
    <row r="318" spans="1:24"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row>
    <row r="319" spans="1:24"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row>
    <row r="320" spans="1:24"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row>
    <row r="321" spans="1:24"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row>
    <row r="322" spans="1:24"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row>
    <row r="323" spans="1:24"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row>
    <row r="324" spans="1:24"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row>
    <row r="325" spans="1:24"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row>
    <row r="326" spans="1:24"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row>
    <row r="327" spans="1:24"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row>
    <row r="328" spans="1:24"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row>
    <row r="329" spans="1:24"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row>
    <row r="330" spans="1:24"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row>
    <row r="331" spans="1:24"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row>
    <row r="332" spans="1:24"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row>
    <row r="334" spans="1:24"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row>
    <row r="336" spans="1:24"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row>
    <row r="338" spans="1:24"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row>
    <row r="339" spans="1:24"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row>
    <row r="340" spans="1:24"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row>
    <row r="341" spans="1:24"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row>
    <row r="342" spans="1:24"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row>
    <row r="343" spans="1:24"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row>
    <row r="344" spans="1:24"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row>
    <row r="345" spans="1:24"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row>
    <row r="346" spans="1:24"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row>
    <row r="347" spans="1:24"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row>
    <row r="348" spans="1:24"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row>
    <row r="349" spans="1:24"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row>
    <row r="350" spans="1:24"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row>
    <row r="351" spans="1:24"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row>
    <row r="352" spans="1:24"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row>
    <row r="353" spans="1:24"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row>
    <row r="354" spans="1:24"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row>
    <row r="355" spans="1:24"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row>
    <row r="357" spans="1:24"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row>
    <row r="359" spans="1:24"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row>
    <row r="361" spans="1:24"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row>
    <row r="362" spans="1:24"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row>
    <row r="363" spans="1:24"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row>
    <row r="364" spans="1:24"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row>
    <row r="365" spans="1:24"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row>
    <row r="366" spans="1:24"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row>
    <row r="367" spans="1:24"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row>
    <row r="368" spans="1:24"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row>
    <row r="369" spans="1:24"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row>
    <row r="370" spans="1:24"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row>
    <row r="371" spans="1:24"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row>
    <row r="372" spans="1:24"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row>
    <row r="373" spans="1:24"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row>
    <row r="374" spans="1:24"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row>
    <row r="375" spans="1:24"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row>
    <row r="376" spans="1:24"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row>
    <row r="377" spans="1:24"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row>
    <row r="378" spans="1:24"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row>
    <row r="380" spans="1:24"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row>
    <row r="382" spans="1:24"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row>
    <row r="384" spans="1:24"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row>
    <row r="385" spans="1:24"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row>
    <row r="386" spans="1:24"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row>
    <row r="387" spans="1:24"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row>
    <row r="388" spans="1:24"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row>
    <row r="389" spans="1:24"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row>
    <row r="390" spans="1:24"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row>
    <row r="391" spans="1:24"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row>
    <row r="392" spans="1:24"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row>
    <row r="393" spans="1:24"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row>
    <row r="394" spans="1:24"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row>
    <row r="395" spans="1:24"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row>
    <row r="396" spans="1:24"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row>
    <row r="397" spans="1:24"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row>
    <row r="398" spans="1:24"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row>
    <row r="399" spans="1:24"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row>
    <row r="400" spans="1:24"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row>
    <row r="401" spans="1:24"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row>
    <row r="403" spans="1:24"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row>
    <row r="405" spans="1:24"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row>
    <row r="407" spans="1:24"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row>
    <row r="408" spans="1:24"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row>
    <row r="409" spans="1:24"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row>
    <row r="410" spans="1:24"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row>
    <row r="411" spans="1:24"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row>
    <row r="412" spans="1:24"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row>
    <row r="413" spans="1:24"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row>
    <row r="414" spans="1:24"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row>
    <row r="415" spans="1:24"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row>
    <row r="416" spans="1:24"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row>
    <row r="417" spans="1:24"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row>
    <row r="418" spans="1:24"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row>
    <row r="419" spans="1:24"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row>
    <row r="420" spans="1:24"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row>
    <row r="421" spans="1:24"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row>
    <row r="422" spans="1:24"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row>
    <row r="423" spans="1:24"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row>
    <row r="424" spans="1:24"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row>
    <row r="426" spans="1:24"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row>
    <row r="428" spans="1:24"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row>
    <row r="430" spans="1:24"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row>
    <row r="431" spans="1:24"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row>
    <row r="432" spans="1:24"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row>
    <row r="433" spans="1:24"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row>
    <row r="434" spans="1:24"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row>
    <row r="435" spans="1:24"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row>
    <row r="436" spans="1:24"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row>
    <row r="437" spans="1:24"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row>
    <row r="438" spans="1:24"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row>
    <row r="439" spans="1:24"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row>
    <row r="440" spans="1:24"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row>
    <row r="441" spans="1:24"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row>
    <row r="442" spans="1:24"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row>
    <row r="443" spans="1:24"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row>
    <row r="444" spans="1:24"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row>
    <row r="445" spans="1:24"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row>
    <row r="446" spans="1:24"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row>
    <row r="447" spans="1:24"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row>
    <row r="449" spans="1:24"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row>
    <row r="451" spans="1:24"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row>
    <row r="453" spans="1:24"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row>
    <row r="454" spans="1:24"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row>
    <row r="455" spans="1:24"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row>
    <row r="456" spans="1:24"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row>
    <row r="457" spans="1:24"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row>
    <row r="458" spans="1:24"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row>
    <row r="459" spans="1:24"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row>
    <row r="460" spans="1:24"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row>
    <row r="461" spans="1:24"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row>
    <row r="462" spans="1:24"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row>
    <row r="463" spans="1:24"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row>
    <row r="464" spans="1:24"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row>
    <row r="465" spans="1:24"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row>
    <row r="466" spans="1:24"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row>
    <row r="467" spans="1:24"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row>
    <row r="468" spans="1:24"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row>
    <row r="469" spans="1:24"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row>
    <row r="470" spans="1:24"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row>
    <row r="472" spans="1:24"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row>
    <row r="474" spans="1:24"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row>
    <row r="476" spans="1:24"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row>
    <row r="477" spans="1:24"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row>
    <row r="478" spans="1:24"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row>
    <row r="479" spans="1:24"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row>
    <row r="480" spans="1:24"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row>
    <row r="481" spans="1:24"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row>
    <row r="482" spans="1:24"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row>
    <row r="483" spans="1:24"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row>
    <row r="484" spans="1:24"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row>
    <row r="485" spans="1:24"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row>
    <row r="486" spans="1:24"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row>
    <row r="487" spans="1:24"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row>
    <row r="488" spans="1:24"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row>
    <row r="489" spans="1:24"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row>
    <row r="490" spans="1:24"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row>
    <row r="491" spans="1:24"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row>
    <row r="492" spans="1:24"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row>
    <row r="493" spans="1:24"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row>
    <row r="495" spans="1:24"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row>
    <row r="497" spans="1:24"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row>
    <row r="499" spans="1:24"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row>
    <row r="500" spans="1:24"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row>
    <row r="501" spans="1:24"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row>
    <row r="502" spans="1:24"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row>
    <row r="503" spans="1:24"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row>
    <row r="504" spans="1:24"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row>
    <row r="505" spans="1:24"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row>
    <row r="506" spans="1:24"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row>
    <row r="507" spans="1:24"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row>
    <row r="508" spans="1:24"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row>
    <row r="509" spans="1:24"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row>
    <row r="510" spans="1:24"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row>
    <row r="511" spans="1:24"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row>
    <row r="512" spans="1:24"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row>
    <row r="513" spans="1:24"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row>
    <row r="514" spans="1:24"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row>
    <row r="515" spans="1:24"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row>
    <row r="516" spans="1:24"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row>
    <row r="518" spans="1:24"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row>
    <row r="520" spans="1:24"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row>
    <row r="522" spans="1:24"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row>
    <row r="523" spans="1:24"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row>
    <row r="524" spans="1:24"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row>
    <row r="525" spans="1:24"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row>
    <row r="526" spans="1:24"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row>
    <row r="527" spans="1:24"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row>
    <row r="528" spans="1:24"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row>
    <row r="529" spans="1:24"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row>
    <row r="530" spans="1:24"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row>
    <row r="531" spans="1:24"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row>
    <row r="532" spans="1:24"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row>
    <row r="533" spans="1:24"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row>
    <row r="534" spans="1:24"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row>
    <row r="535" spans="1:24"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row>
    <row r="536" spans="1:24"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row>
    <row r="537" spans="1:24"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row>
    <row r="538" spans="1:24"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row>
    <row r="539" spans="1:24"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row>
    <row r="541" spans="1:24"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row>
    <row r="543" spans="1:24"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row>
    <row r="545" spans="1:24"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row>
    <row r="546" spans="1:24"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row>
    <row r="547" spans="1:24"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row>
    <row r="548" spans="1:24"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row>
    <row r="549" spans="1:24"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row>
    <row r="550" spans="1:24"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row>
    <row r="551" spans="1:24"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row>
    <row r="552" spans="1:24"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row>
    <row r="553" spans="1:24"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row>
    <row r="554" spans="1:24"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row>
    <row r="555" spans="1:24"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row>
    <row r="556" spans="1:24"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row>
    <row r="557" spans="1:24"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row>
    <row r="558" spans="1:24"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row>
    <row r="559" spans="1:24"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row>
    <row r="560" spans="1:24"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row>
    <row r="561" spans="1:24"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row>
    <row r="562" spans="1:24"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row>
    <row r="564" spans="1:24"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row>
    <row r="566" spans="1:24"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row>
    <row r="568" spans="1:24"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row>
    <row r="569" spans="1:24"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row>
    <row r="570" spans="1:24"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row>
    <row r="571" spans="1:24"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row>
    <row r="572" spans="1:24"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row>
    <row r="573" spans="1:24"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row>
    <row r="574" spans="1:24"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row>
    <row r="575" spans="1:24"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row>
    <row r="576" spans="1:24"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row>
    <row r="577" spans="1:24"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row>
    <row r="578" spans="1:24"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row>
    <row r="579" spans="1:24"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row>
    <row r="580" spans="1:24"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row>
    <row r="581" spans="1:24"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row>
    <row r="582" spans="1:24"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row>
    <row r="583" spans="1:24"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row>
    <row r="584" spans="1:24"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row>
    <row r="585" spans="1:24"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row>
    <row r="587" spans="1:24"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row>
    <row r="589" spans="1:24"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row>
    <row r="591" spans="1:24"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row>
    <row r="592" spans="1:24"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row>
    <row r="593" spans="1:24"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row>
    <row r="594" spans="1:24"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row>
    <row r="595" spans="1:24"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row>
    <row r="596" spans="1:24"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row>
    <row r="597" spans="1:24"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row>
    <row r="598" spans="1:24"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row>
    <row r="599" spans="1:24"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row>
    <row r="600" spans="1:24"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row>
    <row r="601" spans="1:24"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row>
    <row r="602" spans="1:24"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row>
    <row r="603" spans="1:24"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row>
    <row r="604" spans="1:24"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row>
    <row r="605" spans="1:24"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row>
    <row r="606" spans="1:24"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row>
    <row r="607" spans="1:24"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row>
    <row r="608" spans="1:24"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row>
    <row r="610" spans="1:24"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row>
    <row r="612" spans="1:24"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row>
    <row r="614" spans="1:24"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row>
    <row r="615" spans="1:24"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row>
    <row r="616" spans="1:24"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row>
    <row r="617" spans="1:24"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row>
    <row r="618" spans="1:24"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row>
    <row r="619" spans="1:24"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row>
    <row r="620" spans="1:24"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row>
    <row r="621" spans="1:24"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row>
    <row r="622" spans="1:24"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row>
    <row r="623" spans="1:24"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row>
    <row r="624" spans="1:24"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row>
    <row r="625" spans="1:24"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row>
    <row r="626" spans="1:24"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row>
    <row r="627" spans="1:24"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row>
    <row r="628" spans="1:24"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row>
    <row r="629" spans="1:24"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row>
    <row r="630" spans="1:24"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row>
    <row r="631" spans="1:24"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row>
    <row r="633" spans="1:24"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row>
    <row r="635" spans="1:24"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row>
    <row r="637" spans="1:24"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row>
    <row r="638" spans="1:24"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row>
    <row r="639" spans="1:24"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row>
    <row r="640" spans="1:24"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row>
    <row r="641" spans="1:24"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row>
    <row r="642" spans="1:24"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row>
    <row r="643" spans="1:24"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row>
    <row r="644" spans="1:24"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row>
    <row r="645" spans="1:24"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row>
    <row r="646" spans="1:24"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row>
    <row r="647" spans="1:24"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row>
    <row r="648" spans="1:24"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row>
    <row r="649" spans="1:24"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row>
    <row r="650" spans="1:24"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row>
    <row r="651" spans="1:24"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row>
    <row r="652" spans="1:24"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row>
    <row r="653" spans="1:24"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row>
    <row r="654" spans="1:24"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row>
    <row r="656" spans="1:24"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row>
    <row r="658" spans="1:24"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row>
    <row r="660" spans="1:24"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row>
    <row r="661" spans="1:24"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row>
    <row r="662" spans="1:24"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row>
    <row r="663" spans="1:24"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row>
    <row r="664" spans="1:24"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row>
    <row r="665" spans="1:24"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row>
    <row r="666" spans="1:24"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row>
    <row r="667" spans="1:24"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row>
    <row r="668" spans="1:24"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row>
    <row r="669" spans="1:24"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row>
    <row r="670" spans="1:24"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row>
    <row r="671" spans="1:24"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row>
    <row r="672" spans="1:24"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row>
    <row r="673" spans="1:24"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row>
    <row r="674" spans="1:24"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row>
    <row r="675" spans="1:24"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row>
    <row r="676" spans="1:24"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row>
    <row r="677" spans="1:24"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row>
    <row r="678" spans="1:24"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row>
    <row r="679" spans="1:24"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row>
    <row r="680" spans="1:24"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row>
    <row r="681" spans="1:24"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row>
    <row r="682" spans="1:24"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row>
    <row r="683" spans="1:24"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row>
    <row r="684" spans="1:24"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row>
    <row r="685" spans="1:24"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row>
    <row r="686" spans="1:24"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row>
    <row r="687" spans="1:24"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row>
    <row r="688" spans="1:24"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row>
    <row r="689" spans="1:24"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row>
    <row r="690" spans="1:24"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row>
    <row r="691" spans="1:24"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row>
    <row r="692" spans="1:24"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row>
    <row r="693" spans="1:24"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row>
    <row r="694" spans="1:24"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row>
    <row r="695" spans="1:24"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row>
    <row r="696" spans="1:24"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row>
    <row r="697" spans="1:24"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row>
    <row r="698" spans="1:24"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row>
    <row r="699" spans="1:24"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row>
    <row r="700" spans="1:24"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row>
    <row r="701" spans="1:24"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row>
    <row r="702" spans="1:24"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row>
    <row r="703" spans="1:24"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row>
    <row r="704" spans="1:24"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row>
    <row r="705" spans="1:24"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row>
    <row r="706" spans="1:24"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row>
    <row r="707" spans="1:24"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row>
    <row r="708" spans="1:24"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row>
    <row r="709" spans="1:24"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row>
    <row r="710" spans="1:24"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row>
    <row r="711" spans="1:24"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row>
    <row r="712" spans="1:24"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row>
    <row r="713" spans="1:24"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row>
    <row r="714" spans="1:24"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row>
    <row r="715" spans="1:24"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row>
    <row r="716" spans="1:24"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row>
    <row r="717" spans="1:24"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row>
    <row r="718" spans="1:24"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row>
    <row r="719" spans="1:24"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row>
    <row r="720" spans="1:24"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row>
    <row r="721" spans="1:24"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row>
    <row r="722" spans="1:24"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row>
    <row r="723" spans="1:24"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row>
    <row r="724" spans="1:24"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row>
    <row r="725" spans="1:24"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row>
    <row r="726" spans="1:24"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row>
    <row r="727" spans="1:24"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row>
    <row r="728" spans="1:24"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row>
    <row r="729" spans="1:24"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row>
    <row r="730" spans="1:24"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row>
    <row r="731" spans="1:24"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row>
    <row r="732" spans="1:24"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row>
    <row r="733" spans="1:24"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row>
    <row r="734" spans="1:24"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row>
    <row r="735" spans="1:24"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row>
    <row r="736" spans="1:24"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row>
    <row r="737" spans="1:24"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row>
    <row r="738" spans="1:24"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row>
    <row r="739" spans="1:24"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row>
    <row r="740" spans="1:24"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row>
    <row r="741" spans="1:24"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row>
    <row r="742" spans="1:24"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row>
    <row r="743" spans="1:24"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row>
    <row r="744" spans="1:24"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row>
    <row r="745" spans="1:24"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row>
    <row r="746" spans="1:24"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row>
    <row r="747" spans="1:24"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row>
    <row r="748" spans="1:24"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row>
    <row r="749" spans="1:24"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row>
    <row r="750" spans="1:24"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row>
    <row r="751" spans="1:24"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row>
    <row r="752" spans="1:24"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row>
    <row r="753" spans="1:24"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row>
    <row r="754" spans="1:24"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row>
    <row r="755" spans="1:24"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row>
    <row r="756" spans="1:24"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row>
    <row r="757" spans="1:24"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row>
    <row r="758" spans="1:24"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row>
    <row r="759" spans="1:24"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row>
    <row r="760" spans="1:24"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row>
    <row r="761" spans="1:24"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row>
    <row r="762" spans="1:24"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row>
    <row r="763" spans="1:24"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row>
    <row r="764" spans="1:24"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row>
    <row r="765" spans="1:24"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row>
    <row r="766" spans="1:24"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row>
    <row r="767" spans="1:24"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row>
    <row r="768" spans="1:24"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row>
    <row r="769" spans="1:24"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row>
    <row r="770" spans="1:24"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row>
    <row r="771" spans="1:24"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row>
    <row r="772" spans="1:24"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row>
    <row r="773" spans="1:24"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row>
    <row r="774" spans="1:24"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row>
    <row r="775" spans="1:24"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row>
    <row r="776" spans="1:24"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row>
    <row r="777" spans="1:24"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row>
    <row r="778" spans="1:24"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row>
    <row r="779" spans="1:24"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row>
    <row r="780" spans="1:24"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row>
    <row r="781" spans="1:24"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row>
    <row r="782" spans="1:24"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row>
    <row r="783" spans="1:24"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row>
    <row r="784" spans="1:24"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row>
    <row r="785" spans="1:24"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row>
    <row r="786" spans="1:24"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row>
    <row r="787" spans="1:24"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row>
    <row r="788" spans="1:24"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row>
    <row r="789" spans="1:24"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row>
    <row r="790" spans="1:24"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row>
    <row r="791" spans="1:24"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row>
    <row r="792" spans="1:24"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row>
    <row r="793" spans="1:24"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row>
    <row r="794" spans="1:24"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row>
    <row r="795" spans="1:24"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row>
    <row r="796" spans="1:24"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row>
    <row r="797" spans="1:24"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row>
    <row r="798" spans="1:24"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row>
    <row r="799" spans="1:24"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row>
    <row r="800" spans="1:24"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row>
    <row r="801" spans="1:24"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row>
    <row r="802" spans="1:24"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row>
    <row r="803" spans="1:24"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row>
    <row r="804" spans="1:24"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row>
    <row r="805" spans="1:24"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row>
    <row r="806" spans="1:24"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row>
    <row r="807" spans="1:24"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row>
    <row r="808" spans="1:24"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row>
    <row r="809" spans="1:24"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row>
    <row r="810" spans="1:24"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row>
    <row r="811" spans="1:24"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row>
    <row r="812" spans="1:24"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row>
    <row r="813" spans="1:24"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row>
    <row r="814" spans="1:24"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row>
    <row r="815" spans="1:24"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row>
    <row r="816" spans="1:24"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row>
    <row r="817" spans="1:24"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row>
    <row r="818" spans="1:24"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row>
    <row r="819" spans="1:24"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row>
    <row r="820" spans="1:24"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row>
    <row r="821" spans="1:24"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row>
    <row r="822" spans="1:24"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row>
    <row r="823" spans="1:24"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row>
    <row r="824" spans="1:24"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row>
    <row r="825" spans="1:24"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row>
    <row r="826" spans="1:24"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row>
    <row r="827" spans="1:24"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row>
    <row r="828" spans="1:24"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row>
    <row r="829" spans="1:24"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row>
    <row r="830" spans="1:24"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row>
    <row r="831" spans="1:24"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row>
    <row r="832" spans="1:24"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row>
    <row r="833" spans="1:24"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row>
    <row r="834" spans="1:24"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row>
    <row r="835" spans="1:24"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row>
    <row r="836" spans="1:24"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row>
    <row r="837" spans="1:24"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row>
    <row r="838" spans="1:24"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row>
    <row r="839" spans="1:24"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row>
    <row r="840" spans="1:24"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row>
    <row r="841" spans="1:24"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row>
    <row r="842" spans="1:24"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row>
    <row r="843" spans="1:24"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row>
    <row r="844" spans="1:24"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row>
    <row r="845" spans="1:24"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row>
    <row r="846" spans="1:24"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row>
    <row r="847" spans="1:24"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row>
    <row r="848" spans="1:24"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row>
    <row r="849" spans="1:24"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row>
    <row r="850" spans="1:24"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row>
    <row r="851" spans="1:24"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row>
    <row r="852" spans="1:24"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row>
    <row r="853" spans="1:24"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row>
    <row r="854" spans="1:24"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row>
    <row r="855" spans="1:24"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row>
    <row r="856" spans="1:24"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row>
    <row r="857" spans="1:24"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row>
    <row r="858" spans="1:24"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row>
    <row r="859" spans="1:24"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row>
    <row r="860" spans="1:24"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row>
    <row r="861" spans="1:24"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row>
    <row r="862" spans="1:24"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row>
    <row r="863" spans="1:24"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row>
    <row r="864" spans="1:24"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row>
    <row r="865" spans="1:24"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row>
    <row r="866" spans="1:24"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row>
    <row r="867" spans="1:24"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row>
    <row r="868" spans="1:24"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row>
    <row r="869" spans="1:24"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row>
    <row r="870" spans="1:24"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row>
    <row r="871" spans="1:24"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row>
    <row r="872" spans="1:24"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row>
    <row r="873" spans="1:24"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row>
    <row r="874" spans="1:24"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row>
    <row r="875" spans="1:24"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row>
    <row r="876" spans="1:24"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row>
    <row r="877" spans="1:24"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row>
    <row r="878" spans="1:24"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row>
    <row r="879" spans="1:24"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row>
    <row r="880" spans="1:24"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row>
    <row r="881" spans="1:24"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row>
    <row r="882" spans="1:24"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row>
    <row r="883" spans="1:24"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row>
    <row r="884" spans="1:24"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row>
    <row r="885" spans="1:24"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row>
    <row r="886" spans="1:24"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row>
    <row r="887" spans="1:24"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row>
    <row r="888" spans="1:24"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row>
    <row r="889" spans="1:24"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row>
    <row r="890" spans="1:24"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row>
    <row r="891" spans="1:24"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row>
    <row r="892" spans="1:24"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row>
    <row r="893" spans="1:24"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row>
    <row r="894" spans="1:24"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row>
    <row r="895" spans="1:24"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row>
    <row r="896" spans="1:24"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row>
    <row r="897" spans="1:24"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row>
    <row r="898" spans="1:24"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row>
    <row r="899" spans="1:24"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row>
    <row r="900" spans="1:24"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row>
    <row r="901" spans="1:24"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row>
    <row r="902" spans="1:24"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row>
    <row r="903" spans="1:24"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row>
    <row r="904" spans="1:24"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row>
    <row r="905" spans="1:24"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row>
    <row r="906" spans="1:24"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row>
    <row r="907" spans="1:24"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row>
    <row r="908" spans="1:24"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row>
    <row r="909" spans="1:24"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row>
    <row r="910" spans="1:24"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row>
    <row r="911" spans="1:24"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row>
    <row r="912" spans="1:24"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row>
    <row r="913" spans="1:24"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row>
    <row r="914" spans="1:24"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row>
    <row r="915" spans="1:24"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row>
    <row r="916" spans="1:24"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row>
    <row r="917" spans="1:24"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row>
    <row r="918" spans="1:24"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row>
    <row r="919" spans="1:24"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row>
    <row r="920" spans="1:24"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row>
    <row r="921" spans="1:24"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row>
    <row r="922" spans="1:24"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row>
    <row r="923" spans="1:24"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row>
    <row r="924" spans="1:24"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row>
    <row r="925" spans="1:24"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row>
    <row r="926" spans="1:24"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row>
    <row r="927" spans="1:24"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row>
    <row r="928" spans="1:24"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row>
    <row r="929" spans="1:24"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row>
    <row r="930" spans="1:24"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row>
    <row r="931" spans="1:24"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row>
    <row r="932" spans="1:24"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row>
    <row r="933" spans="1:24"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row>
    <row r="934" spans="1:24"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row>
    <row r="935" spans="1:24"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row>
    <row r="936" spans="1:24"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row>
    <row r="937" spans="1:24"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row>
    <row r="938" spans="1:24"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row>
    <row r="939" spans="1:24"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row>
    <row r="940" spans="1:24"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row>
    <row r="941" spans="1:24"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row>
    <row r="942" spans="1:24"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row>
    <row r="943" spans="1:24"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row>
    <row r="944" spans="1:24"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row>
    <row r="945" spans="1:24"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row>
    <row r="946" spans="1:24"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row>
    <row r="947" spans="1:24"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row>
    <row r="948" spans="1:24"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row>
    <row r="949" spans="1:24"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row>
    <row r="950" spans="1:24"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row>
    <row r="951" spans="1:24"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row>
    <row r="952" spans="1:24"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row>
    <row r="953" spans="1:24"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row>
    <row r="954" spans="1:24"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row>
    <row r="955" spans="1:24"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row>
    <row r="956" spans="1:24"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row>
    <row r="957" spans="1:24"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row>
    <row r="958" spans="1:24"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row>
    <row r="959" spans="1:24"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row>
    <row r="960" spans="1:24"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row>
    <row r="961" spans="1:24"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row>
    <row r="962" spans="1:24"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row>
    <row r="963" spans="1:24"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row>
    <row r="964" spans="1:24"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row>
    <row r="965" spans="1:24"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row>
    <row r="966" spans="1:24"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row>
    <row r="967" spans="1:24"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row>
    <row r="968" spans="1:24"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row>
    <row r="969" spans="1:24"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row>
    <row r="970" spans="1:24"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row>
    <row r="971" spans="1:24"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row>
    <row r="972" spans="1:24"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row>
    <row r="973" spans="1:24"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row>
    <row r="974" spans="1:24"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row>
    <row r="975" spans="1:24"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row>
    <row r="976" spans="1:24"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row>
    <row r="977" spans="1:24"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row>
    <row r="978" spans="1:24"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row>
    <row r="979" spans="1:24"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row>
    <row r="980" spans="1:24"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row>
    <row r="981" spans="1:24"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row>
    <row r="982" spans="1:24"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row>
    <row r="983" spans="1:24"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row>
    <row r="984" spans="1:24"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row>
    <row r="985" spans="1:24"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row>
    <row r="986" spans="1:24"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row>
    <row r="987" spans="1:24"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row>
    <row r="988" spans="1:24"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row>
    <row r="989" spans="1:24"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row>
    <row r="990" spans="1:24"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row>
    <row r="991" spans="1:24"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row>
    <row r="992" spans="1:24"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row>
    <row r="993" spans="1:24"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row>
    <row r="994" spans="1:24"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row>
    <row r="995" spans="1:24"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row>
    <row r="996" spans="1:24"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row>
    <row r="997" spans="1:24"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row>
    <row r="998" spans="1:24" ht="15.75" customHeight="1">
      <c r="A998" s="2"/>
      <c r="B998" s="2"/>
      <c r="C998" s="2"/>
      <c r="D998" s="2"/>
      <c r="E998" s="2"/>
      <c r="F998" s="2"/>
      <c r="G998" s="2"/>
      <c r="H998" s="2"/>
      <c r="I998" s="2"/>
      <c r="Q998" s="2"/>
      <c r="R998" s="2"/>
      <c r="S998" s="2"/>
      <c r="T998" s="2"/>
      <c r="U998" s="2"/>
      <c r="V998" s="2"/>
      <c r="W998" s="2"/>
      <c r="X998" s="2"/>
    </row>
    <row r="999" spans="1:24" ht="15" customHeight="1">
      <c r="E999" s="2"/>
      <c r="F999" s="2"/>
      <c r="G999" s="2"/>
      <c r="H999" s="2"/>
    </row>
  </sheetData>
  <sheetProtection algorithmName="SHA-512" hashValue="8STU2CndxwyMI1/Enjh5tNO+KT7TK0LaOZk10evtdkrVIOusWKF0IH+zWWLXScedZ+5TmKTmVOwihBmqKE2KLw==" saltValue="C5xliZ4muHWJ29BuXBWQ1w==" spinCount="100000" sheet="1" objects="1" scenarios="1"/>
  <mergeCells count="66">
    <mergeCell ref="AR56:AR58"/>
    <mergeCell ref="J5:K6"/>
    <mergeCell ref="L5:N5"/>
    <mergeCell ref="L6:N6"/>
    <mergeCell ref="J7:K9"/>
    <mergeCell ref="L7:N7"/>
    <mergeCell ref="L8:N8"/>
    <mergeCell ref="L9:N9"/>
    <mergeCell ref="L11:N11"/>
    <mergeCell ref="L12:N12"/>
    <mergeCell ref="L13:N13"/>
    <mergeCell ref="L14:N14"/>
    <mergeCell ref="AN56:AN58"/>
    <mergeCell ref="AM52:AN55"/>
    <mergeCell ref="AF56:AF58"/>
    <mergeCell ref="AK52:AL55"/>
    <mergeCell ref="X116:X118"/>
    <mergeCell ref="X104:X105"/>
    <mergeCell ref="Y56:Y58"/>
    <mergeCell ref="Z56:Z58"/>
    <mergeCell ref="X52:Z55"/>
    <mergeCell ref="AA116:AA118"/>
    <mergeCell ref="Y116:Y118"/>
    <mergeCell ref="Z116:Z118"/>
    <mergeCell ref="AA104:AA105"/>
    <mergeCell ref="Z104:Z105"/>
    <mergeCell ref="Y104:Y105"/>
    <mergeCell ref="P1:U1"/>
    <mergeCell ref="E3:G3"/>
    <mergeCell ref="B1:O1"/>
    <mergeCell ref="B37:C38"/>
    <mergeCell ref="B39:C40"/>
    <mergeCell ref="L16:N16"/>
    <mergeCell ref="L15:N15"/>
    <mergeCell ref="R19:U22"/>
    <mergeCell ref="J24:P25"/>
    <mergeCell ref="B43:C44"/>
    <mergeCell ref="B41:C42"/>
    <mergeCell ref="B4:C22"/>
    <mergeCell ref="AM56:AM58"/>
    <mergeCell ref="X56:X58"/>
    <mergeCell ref="AE56:AE58"/>
    <mergeCell ref="AB52:AD55"/>
    <mergeCell ref="AB56:AB58"/>
    <mergeCell ref="AG56:AG58"/>
    <mergeCell ref="AH56:AH58"/>
    <mergeCell ref="AE52:AJ52"/>
    <mergeCell ref="AE53:AJ54"/>
    <mergeCell ref="AK56:AK58"/>
    <mergeCell ref="AL56:AL58"/>
    <mergeCell ref="AO52:AS55"/>
    <mergeCell ref="AS56:AS58"/>
    <mergeCell ref="E4:G4"/>
    <mergeCell ref="AC56:AC58"/>
    <mergeCell ref="AD56:AD58"/>
    <mergeCell ref="AI56:AI58"/>
    <mergeCell ref="AO56:AO58"/>
    <mergeCell ref="AP56:AP58"/>
    <mergeCell ref="AJ56:AJ58"/>
    <mergeCell ref="AQ56:AQ58"/>
    <mergeCell ref="J16:K16"/>
    <mergeCell ref="J4:P4"/>
    <mergeCell ref="AA56:AA58"/>
    <mergeCell ref="J10:K12"/>
    <mergeCell ref="J13:K15"/>
    <mergeCell ref="L10:N10"/>
  </mergeCells>
  <dataValidations xWindow="297" yWindow="408" count="19">
    <dataValidation type="list" allowBlank="1" showErrorMessage="1" sqref="F33" xr:uid="{00000000-0002-0000-0000-000000000000}">
      <formula1>"Urban,Suburban,Rural"</formula1>
    </dataValidation>
    <dataValidation type="list" allowBlank="1" showErrorMessage="1" sqref="F34" xr:uid="{00000000-0002-0000-0000-000001000000}">
      <formula1>"Yes,No,Yes - Brownfield,Partially"</formula1>
    </dataValidation>
    <dataValidation type="list" allowBlank="1" showErrorMessage="1" sqref="F35" xr:uid="{00000000-0002-0000-0000-000002000000}">
      <formula1>"Yes,No,Hmm…I'm totally interested in learning more"</formula1>
    </dataValidation>
    <dataValidation type="list" allowBlank="1" sqref="F37" xr:uid="{00000000-0002-0000-0000-000004000000}">
      <formula1>"None,LEED,LBC,WELL,Other"</formula1>
    </dataValidation>
    <dataValidation type="list" allowBlank="1" showErrorMessage="1" sqref="F32" xr:uid="{00000000-0002-0000-0000-000005000000}">
      <formula1>"New Construction,Renovation,Interiors Only,Renovation and New Construction"</formula1>
    </dataValidation>
    <dataValidation type="list" allowBlank="1" showInputMessage="1" showErrorMessage="1" sqref="F11" xr:uid="{73158796-7165-4F01-A07C-FE7B1DC2E468}">
      <formula1>"1A,2A,2B,3A,3B,4A,4B,5A,5B,6A,6B,7,8,Marine,Other"</formula1>
    </dataValidation>
    <dataValidation allowBlank="1" showErrorMessage="1" sqref="X59:AA99" xr:uid="{89900C83-1701-43A3-AD8B-FAA5BB5DD90C}"/>
    <dataValidation type="list" allowBlank="1" showInputMessage="1" showErrorMessage="1" sqref="F26:F28" xr:uid="{FD673FE4-C13D-439B-B798-D9C382B28547}">
      <formula1>$AB$59:$AB$99</formula1>
    </dataValidation>
    <dataValidation type="list" allowBlank="1" showInputMessage="1" showErrorMessage="1" sqref="F9" xr:uid="{1DC91860-58D8-43DE-A838-1C87877970E8}">
      <formula1>$AV$52:$AV$101</formula1>
    </dataValidation>
    <dataValidation allowBlank="1" showInputMessage="1" showErrorMessage="1" promptTitle="Average Daily Occupancy " prompt="The typical occupancy at any given time during occupied hours" sqref="E15" xr:uid="{68E36872-5B34-410F-8205-B662AEE5CDB9}"/>
    <dataValidation allowBlank="1" showInputMessage="1" showErrorMessage="1" promptTitle="Peak occupancy  " prompt="The maximum number of occupants anticipated on site at any one time" sqref="E16" xr:uid="{E6F9243C-B1DA-4D7E-B4D9-E26DAB1D9E07}"/>
    <dataValidation type="list" allowBlank="1" showErrorMessage="1" sqref="F36" xr:uid="{666BD266-B880-4787-A953-50A71003D91D}">
      <formula1>"Yes,No, Not Yet!"</formula1>
    </dataValidation>
    <dataValidation allowBlank="1" showInputMessage="1" showErrorMessage="1" promptTitle="To convert from acres" prompt="1 Acre = 43,560 sf" sqref="E13" xr:uid="{F391A70E-DC26-4F08-A5D7-E82DE808C823}"/>
    <dataValidation allowBlank="1" showInputMessage="1" showErrorMessage="1" promptTitle="This is days of normal operation" prompt="Make an eduacted guess:_x000a_For an office or school this might be weekdays - 260_x000a_For a hospital, university, or residence, this might be everyday - 365_x000a_For a vacation home this might be weekends - 104_x000a_Etc." sqref="E19" xr:uid="{DEE43D1C-1E40-4AB1-81E9-AD5CDB951979}"/>
    <dataValidation allowBlank="1" showInputMessage="1" showErrorMessage="1" promptTitle="Hours with typical occupancy" prompt="Make an eduacted guess:_x000a_For an office or school this might 10 hours/day_x000a_For a hospital this might be 24 hours/day_x000a_For a residence, this might be 14 hours/day_x000a_For an auditorium this might be 4 hours/ day" sqref="E20" xr:uid="{341FDB3D-54D9-4929-A4EE-7B606477BAE6}"/>
    <dataValidation allowBlank="1" showInputMessage="1" showErrorMessage="1" prompt="By user discression " sqref="E33" xr:uid="{61FE8CD1-86C8-4A40-BA76-EE3EC5E5D1A4}"/>
    <dataValidation type="list" allowBlank="1" showErrorMessage="1" sqref="G26:G28" xr:uid="{F18AB5E2-B878-4ECA-90DD-F586D247A98A}">
      <formula1>"0%,5%,10%,15%,20%,25%,30%,35%,40%,45%,50%,55%,60%,65%,70%,75%,80%,85%,90%,95%,100%"</formula1>
    </dataValidation>
    <dataValidation allowBlank="1" showInputMessage="1" showErrorMessage="1" promptTitle="Full Time Equivalents" prompt="Building staff. Not including visitors or transients " sqref="E17" xr:uid="{941C779B-AA92-4DB0-B79A-18A4146BB371}"/>
    <dataValidation allowBlank="1" showInputMessage="1" showErrorMessage="1" promptTitle="Regularly occupied space" prompt="area where one or more individuals spend more than one continuous hour per day on average." sqref="E14" xr:uid="{EBA1BECB-1B70-4122-A382-F42C094779B5}"/>
  </dataValidations>
  <hyperlinks>
    <hyperlink ref="G11" r:id="rId1" xr:uid="{9E428730-DFF3-4D5B-B8BE-4A339DDCFFC4}"/>
  </hyperlinks>
  <pageMargins left="0.7" right="0.7" top="0.75" bottom="0.75" header="0" footer="0"/>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S1000"/>
  <sheetViews>
    <sheetView workbookViewId="0">
      <pane ySplit="3" topLeftCell="A4" activePane="bottomLeft" state="frozen"/>
      <selection pane="bottomLeft" activeCell="G27" sqref="G27"/>
    </sheetView>
  </sheetViews>
  <sheetFormatPr defaultColWidth="14.42578125" defaultRowHeight="15" customHeight="1"/>
  <cols>
    <col min="1" max="1" width="3.5703125" customWidth="1"/>
    <col min="2" max="2" width="25.7109375" customWidth="1"/>
    <col min="3" max="3" width="3.5703125" customWidth="1"/>
    <col min="4" max="4" width="64" customWidth="1"/>
    <col min="5" max="5" width="9" customWidth="1"/>
    <col min="6" max="6" width="5.5703125" customWidth="1"/>
    <col min="7" max="7" width="59.85546875" customWidth="1"/>
    <col min="8" max="8" width="9" customWidth="1"/>
    <col min="9" max="10" width="6.140625" customWidth="1"/>
    <col min="11" max="11" width="4.7109375" customWidth="1"/>
    <col min="12" max="13" width="8.7109375" customWidth="1"/>
    <col min="14" max="14" width="10.7109375" customWidth="1"/>
    <col min="15" max="15" width="2.7109375" customWidth="1"/>
    <col min="16" max="18" width="8.7109375" customWidth="1"/>
    <col min="19" max="19" width="6" customWidth="1"/>
  </cols>
  <sheetData>
    <row r="1" spans="1:19" ht="34.5" customHeight="1">
      <c r="A1" s="52" t="s">
        <v>667</v>
      </c>
      <c r="B1" s="52"/>
      <c r="C1" s="52"/>
      <c r="D1" s="52"/>
      <c r="E1" s="17"/>
      <c r="F1" s="17"/>
      <c r="G1" s="17"/>
      <c r="H1" s="17"/>
      <c r="I1" s="17"/>
      <c r="J1" s="17"/>
      <c r="K1" s="17"/>
      <c r="L1" s="17"/>
      <c r="M1" s="17"/>
      <c r="N1" s="17"/>
      <c r="O1" s="17"/>
      <c r="P1" s="17"/>
      <c r="Q1" s="17"/>
      <c r="R1" s="17"/>
      <c r="S1" s="17"/>
    </row>
    <row r="2" spans="1:19">
      <c r="A2" s="3"/>
      <c r="B2" s="3"/>
      <c r="C2" s="3"/>
      <c r="D2" s="3"/>
      <c r="E2" s="3"/>
      <c r="F2" s="3"/>
      <c r="G2" s="3"/>
      <c r="H2" s="3"/>
      <c r="I2" s="3"/>
      <c r="J2" s="3"/>
      <c r="K2" s="3"/>
      <c r="L2" s="3"/>
      <c r="M2" s="3"/>
      <c r="N2" s="3"/>
      <c r="O2" s="3"/>
      <c r="P2" s="3"/>
      <c r="Q2" s="3"/>
      <c r="R2" s="3"/>
      <c r="S2" s="3"/>
    </row>
    <row r="3" spans="1:19" ht="15.75" customHeight="1">
      <c r="A3" s="9"/>
      <c r="B3" s="15" t="s">
        <v>5</v>
      </c>
      <c r="C3" s="9"/>
      <c r="D3" s="849" t="s">
        <v>300</v>
      </c>
      <c r="E3" s="716"/>
      <c r="F3" s="717"/>
      <c r="G3" s="9"/>
      <c r="H3" s="9"/>
      <c r="I3" s="9"/>
      <c r="J3" s="9"/>
      <c r="K3" s="15"/>
      <c r="L3" s="15" t="s">
        <v>9</v>
      </c>
      <c r="M3" s="15"/>
      <c r="N3" s="15"/>
      <c r="O3" s="15"/>
      <c r="P3" s="15" t="s">
        <v>10</v>
      </c>
      <c r="Q3" s="9"/>
      <c r="R3" s="9"/>
      <c r="S3" s="3"/>
    </row>
    <row r="4" spans="1:19">
      <c r="A4" s="3"/>
      <c r="B4" s="799" t="s">
        <v>672</v>
      </c>
      <c r="C4" s="20"/>
      <c r="D4" s="26" t="s">
        <v>675</v>
      </c>
      <c r="E4" s="26"/>
      <c r="F4" s="26"/>
      <c r="G4" s="26"/>
      <c r="H4" s="26"/>
      <c r="I4" s="26"/>
      <c r="J4" s="26"/>
      <c r="K4" s="20"/>
      <c r="L4" s="19"/>
      <c r="M4" s="19"/>
      <c r="N4" s="19"/>
      <c r="O4" s="20"/>
      <c r="P4" s="19"/>
      <c r="Q4" s="19"/>
      <c r="R4" s="19"/>
      <c r="S4" s="3"/>
    </row>
    <row r="5" spans="1:19">
      <c r="A5" s="3"/>
      <c r="B5" s="800"/>
      <c r="C5" s="20"/>
      <c r="D5" s="28"/>
      <c r="E5" s="28"/>
      <c r="F5" s="28"/>
      <c r="G5" s="28"/>
      <c r="H5" s="28"/>
      <c r="I5" s="28"/>
      <c r="J5" s="28"/>
      <c r="K5" s="20"/>
      <c r="L5" s="19" t="s">
        <v>676</v>
      </c>
      <c r="M5" s="19"/>
      <c r="N5" s="19"/>
      <c r="O5" s="20"/>
      <c r="P5" s="19"/>
      <c r="Q5" s="19"/>
      <c r="R5" s="19"/>
      <c r="S5" s="3"/>
    </row>
    <row r="6" spans="1:19">
      <c r="A6" s="3"/>
      <c r="B6" s="800"/>
      <c r="C6" s="20"/>
      <c r="D6" s="923" t="s">
        <v>677</v>
      </c>
      <c r="E6" s="840"/>
      <c r="F6" s="39"/>
      <c r="G6" s="39"/>
      <c r="H6" s="39"/>
      <c r="I6" s="39"/>
      <c r="J6" s="28"/>
      <c r="K6" s="20"/>
      <c r="L6" s="19"/>
      <c r="M6" s="19"/>
      <c r="N6" s="19"/>
      <c r="O6" s="20"/>
      <c r="P6" s="19"/>
      <c r="Q6" s="19"/>
      <c r="R6" s="19"/>
      <c r="S6" s="3"/>
    </row>
    <row r="7" spans="1:19">
      <c r="A7" s="3"/>
      <c r="B7" s="800"/>
      <c r="C7" s="20"/>
      <c r="D7" s="27" t="s">
        <v>685</v>
      </c>
      <c r="E7" s="334" t="s">
        <v>90</v>
      </c>
      <c r="F7" s="28">
        <f t="shared" ref="F7:F11" si="0">IF(E7="yes",1,0)</f>
        <v>1</v>
      </c>
      <c r="G7" s="27" t="s">
        <v>689</v>
      </c>
      <c r="H7" s="334" t="s">
        <v>359</v>
      </c>
      <c r="I7" s="28">
        <f t="shared" ref="I7:I11" si="1">IF(H7="yes",1,0)</f>
        <v>0</v>
      </c>
      <c r="J7" s="28"/>
      <c r="K7" s="20"/>
      <c r="L7" s="19"/>
      <c r="M7" s="19"/>
      <c r="N7" s="19"/>
      <c r="O7" s="20"/>
      <c r="P7" s="19"/>
      <c r="Q7" s="19"/>
      <c r="R7" s="19"/>
      <c r="S7" s="3"/>
    </row>
    <row r="8" spans="1:19">
      <c r="A8" s="3"/>
      <c r="B8" s="800"/>
      <c r="C8" s="20"/>
      <c r="D8" s="27" t="s">
        <v>693</v>
      </c>
      <c r="E8" s="334" t="s">
        <v>90</v>
      </c>
      <c r="F8" s="28">
        <f t="shared" si="0"/>
        <v>1</v>
      </c>
      <c r="G8" s="27" t="s">
        <v>695</v>
      </c>
      <c r="H8" s="334" t="s">
        <v>90</v>
      </c>
      <c r="I8" s="28">
        <f t="shared" si="1"/>
        <v>1</v>
      </c>
      <c r="J8" s="28"/>
      <c r="K8" s="20"/>
      <c r="L8" s="19"/>
      <c r="M8" s="19"/>
      <c r="N8" s="19"/>
      <c r="O8" s="20"/>
      <c r="P8" s="19"/>
      <c r="Q8" s="19"/>
      <c r="R8" s="19"/>
      <c r="S8" s="3"/>
    </row>
    <row r="9" spans="1:19">
      <c r="A9" s="3"/>
      <c r="B9" s="800"/>
      <c r="C9" s="20"/>
      <c r="D9" s="27" t="s">
        <v>699</v>
      </c>
      <c r="E9" s="334" t="s">
        <v>90</v>
      </c>
      <c r="F9" s="28">
        <f t="shared" si="0"/>
        <v>1</v>
      </c>
      <c r="G9" s="27" t="s">
        <v>701</v>
      </c>
      <c r="H9" s="334" t="s">
        <v>90</v>
      </c>
      <c r="I9" s="28">
        <f t="shared" si="1"/>
        <v>1</v>
      </c>
      <c r="J9" s="28"/>
      <c r="K9" s="20"/>
      <c r="L9" s="19"/>
      <c r="M9" s="19"/>
      <c r="N9" s="19"/>
      <c r="O9" s="20"/>
      <c r="P9" s="19"/>
      <c r="Q9" s="19"/>
      <c r="R9" s="19"/>
      <c r="S9" s="3"/>
    </row>
    <row r="10" spans="1:19">
      <c r="A10" s="3"/>
      <c r="B10" s="800"/>
      <c r="C10" s="20"/>
      <c r="D10" s="27" t="s">
        <v>702</v>
      </c>
      <c r="E10" s="334" t="s">
        <v>90</v>
      </c>
      <c r="F10" s="28">
        <f t="shared" si="0"/>
        <v>1</v>
      </c>
      <c r="G10" s="27" t="s">
        <v>704</v>
      </c>
      <c r="H10" s="334" t="s">
        <v>90</v>
      </c>
      <c r="I10" s="28">
        <f t="shared" si="1"/>
        <v>1</v>
      </c>
      <c r="J10" s="28"/>
      <c r="K10" s="20"/>
      <c r="L10" s="19"/>
      <c r="M10" s="19"/>
      <c r="N10" s="19"/>
      <c r="O10" s="20"/>
      <c r="P10" s="19"/>
      <c r="Q10" s="19"/>
      <c r="R10" s="19"/>
      <c r="S10" s="3"/>
    </row>
    <row r="11" spans="1:19">
      <c r="A11" s="3"/>
      <c r="B11" s="800"/>
      <c r="C11" s="20"/>
      <c r="D11" s="27" t="s">
        <v>706</v>
      </c>
      <c r="E11" s="334" t="s">
        <v>90</v>
      </c>
      <c r="F11" s="28">
        <f t="shared" si="0"/>
        <v>1</v>
      </c>
      <c r="G11" s="27" t="s">
        <v>709</v>
      </c>
      <c r="H11" s="334" t="s">
        <v>90</v>
      </c>
      <c r="I11" s="28">
        <f t="shared" si="1"/>
        <v>1</v>
      </c>
      <c r="J11" s="28"/>
      <c r="K11" s="20"/>
      <c r="L11" s="19"/>
      <c r="M11" s="19"/>
      <c r="N11" s="19"/>
      <c r="O11" s="20"/>
      <c r="P11" s="19"/>
      <c r="Q11" s="19"/>
      <c r="R11" s="19"/>
      <c r="S11" s="3"/>
    </row>
    <row r="12" spans="1:19">
      <c r="A12" s="3"/>
      <c r="B12" s="800"/>
      <c r="C12" s="20"/>
      <c r="D12" s="28"/>
      <c r="E12" s="28"/>
      <c r="F12" s="28"/>
      <c r="G12" s="28"/>
      <c r="H12" s="28"/>
      <c r="I12" s="28"/>
      <c r="J12" s="28"/>
      <c r="K12" s="20"/>
      <c r="L12" s="19"/>
      <c r="M12" s="19"/>
      <c r="N12" s="19"/>
      <c r="O12" s="20"/>
      <c r="P12" s="19"/>
      <c r="Q12" s="19"/>
      <c r="R12" s="19"/>
      <c r="S12" s="3"/>
    </row>
    <row r="13" spans="1:19">
      <c r="A13" s="3"/>
      <c r="B13" s="800"/>
      <c r="C13" s="20"/>
      <c r="D13" s="44" t="s">
        <v>711</v>
      </c>
      <c r="E13" s="32">
        <f>(SUM(F7:F11)+SUM(I7:I11))/10</f>
        <v>0.9</v>
      </c>
      <c r="F13" s="28"/>
      <c r="G13" s="28"/>
      <c r="H13" s="28"/>
      <c r="I13" s="28"/>
      <c r="J13" s="28"/>
      <c r="K13" s="20"/>
      <c r="L13" s="19"/>
      <c r="M13" s="19"/>
      <c r="N13" s="19"/>
      <c r="O13" s="20"/>
      <c r="P13" s="19"/>
      <c r="Q13" s="19"/>
      <c r="R13" s="19"/>
      <c r="S13" s="3"/>
    </row>
    <row r="14" spans="1:19">
      <c r="A14" s="3"/>
      <c r="B14" s="801"/>
      <c r="C14" s="20"/>
      <c r="D14" s="28"/>
      <c r="E14" s="28"/>
      <c r="F14" s="28"/>
      <c r="G14" s="28"/>
      <c r="H14" s="28"/>
      <c r="I14" s="28"/>
      <c r="J14" s="28"/>
      <c r="K14" s="20"/>
      <c r="L14" s="19"/>
      <c r="M14" s="19"/>
      <c r="N14" s="19"/>
      <c r="O14" s="20"/>
      <c r="P14" s="19"/>
      <c r="Q14" s="19"/>
      <c r="R14" s="19"/>
      <c r="S14" s="3"/>
    </row>
    <row r="15" spans="1:19">
      <c r="A15" s="3"/>
      <c r="B15" s="20"/>
      <c r="C15" s="20"/>
      <c r="D15" s="20"/>
      <c r="E15" s="20"/>
      <c r="F15" s="20"/>
      <c r="G15" s="20"/>
      <c r="H15" s="20"/>
      <c r="I15" s="20"/>
      <c r="J15" s="20"/>
      <c r="K15" s="20"/>
      <c r="L15" s="20"/>
      <c r="M15" s="20"/>
      <c r="N15" s="20"/>
      <c r="O15" s="20"/>
      <c r="P15" s="20"/>
      <c r="Q15" s="20"/>
      <c r="R15" s="20"/>
      <c r="S15" s="3"/>
    </row>
    <row r="16" spans="1:19">
      <c r="A16" s="3"/>
      <c r="B16" s="799" t="s">
        <v>714</v>
      </c>
      <c r="C16" s="20"/>
      <c r="D16" s="26" t="s">
        <v>716</v>
      </c>
      <c r="E16" s="26"/>
      <c r="F16" s="26"/>
      <c r="G16" s="26"/>
      <c r="H16" s="26"/>
      <c r="I16" s="26"/>
      <c r="J16" s="26"/>
      <c r="K16" s="20"/>
      <c r="L16" s="19"/>
      <c r="M16" s="19"/>
      <c r="N16" s="19"/>
      <c r="O16" s="20"/>
      <c r="P16" s="19"/>
      <c r="Q16" s="19"/>
      <c r="R16" s="19"/>
      <c r="S16" s="3"/>
    </row>
    <row r="17" spans="1:19">
      <c r="A17" s="3"/>
      <c r="B17" s="800"/>
      <c r="C17" s="20"/>
      <c r="D17" s="28"/>
      <c r="E17" s="28"/>
      <c r="F17" s="28"/>
      <c r="G17" s="28"/>
      <c r="H17" s="28"/>
      <c r="I17" s="28"/>
      <c r="J17" s="28"/>
      <c r="K17" s="20"/>
      <c r="L17" s="19" t="s">
        <v>676</v>
      </c>
      <c r="M17" s="19"/>
      <c r="N17" s="19"/>
      <c r="O17" s="20"/>
      <c r="P17" s="19"/>
      <c r="Q17" s="19"/>
      <c r="R17" s="19"/>
      <c r="S17" s="3"/>
    </row>
    <row r="18" spans="1:19">
      <c r="A18" s="3"/>
      <c r="B18" s="800"/>
      <c r="C18" s="20"/>
      <c r="D18" s="923" t="s">
        <v>717</v>
      </c>
      <c r="E18" s="840"/>
      <c r="F18" s="39"/>
      <c r="G18" s="39"/>
      <c r="H18" s="39"/>
      <c r="I18" s="39"/>
      <c r="J18" s="28"/>
      <c r="K18" s="20"/>
      <c r="L18" s="19"/>
      <c r="M18" s="19"/>
      <c r="N18" s="19"/>
      <c r="O18" s="20"/>
      <c r="P18" s="19"/>
      <c r="Q18" s="19"/>
      <c r="R18" s="19"/>
      <c r="S18" s="3"/>
    </row>
    <row r="19" spans="1:19">
      <c r="A19" s="3"/>
      <c r="B19" s="800"/>
      <c r="C19" s="20"/>
      <c r="D19" s="27" t="s">
        <v>719</v>
      </c>
      <c r="E19" s="334" t="s">
        <v>90</v>
      </c>
      <c r="F19" s="28">
        <f t="shared" ref="F19:F22" si="2">IF(E19="yes",1,0)</f>
        <v>1</v>
      </c>
      <c r="G19" s="27" t="s">
        <v>722</v>
      </c>
      <c r="H19" s="334" t="s">
        <v>90</v>
      </c>
      <c r="I19" s="28">
        <f t="shared" ref="I19:I22" si="3">IF(H19="yes",1,0)</f>
        <v>1</v>
      </c>
      <c r="J19" s="28"/>
      <c r="K19" s="20"/>
      <c r="L19" s="19"/>
      <c r="M19" s="19"/>
      <c r="N19" s="19"/>
      <c r="O19" s="20"/>
      <c r="P19" s="19"/>
      <c r="Q19" s="19"/>
      <c r="R19" s="19"/>
      <c r="S19" s="3"/>
    </row>
    <row r="20" spans="1:19">
      <c r="A20" s="3"/>
      <c r="B20" s="800"/>
      <c r="C20" s="20"/>
      <c r="D20" s="27" t="s">
        <v>723</v>
      </c>
      <c r="E20" s="334" t="s">
        <v>90</v>
      </c>
      <c r="F20" s="28">
        <f t="shared" si="2"/>
        <v>1</v>
      </c>
      <c r="G20" s="27" t="s">
        <v>724</v>
      </c>
      <c r="H20" s="334" t="s">
        <v>90</v>
      </c>
      <c r="I20" s="28">
        <f t="shared" si="3"/>
        <v>1</v>
      </c>
      <c r="J20" s="28"/>
      <c r="K20" s="20"/>
      <c r="L20" s="19"/>
      <c r="M20" s="19"/>
      <c r="N20" s="19"/>
      <c r="O20" s="20"/>
      <c r="P20" s="19"/>
      <c r="Q20" s="19"/>
      <c r="R20" s="19"/>
      <c r="S20" s="3"/>
    </row>
    <row r="21" spans="1:19" ht="15.75" customHeight="1">
      <c r="A21" s="3"/>
      <c r="B21" s="800"/>
      <c r="C21" s="20"/>
      <c r="D21" s="27" t="s">
        <v>725</v>
      </c>
      <c r="E21" s="334" t="s">
        <v>90</v>
      </c>
      <c r="F21" s="28">
        <f t="shared" si="2"/>
        <v>1</v>
      </c>
      <c r="G21" s="350" t="s">
        <v>726</v>
      </c>
      <c r="H21" s="334" t="s">
        <v>359</v>
      </c>
      <c r="I21" s="28">
        <f t="shared" si="3"/>
        <v>0</v>
      </c>
      <c r="J21" s="28"/>
      <c r="K21" s="20"/>
      <c r="L21" s="19"/>
      <c r="M21" s="19"/>
      <c r="N21" s="19"/>
      <c r="O21" s="20"/>
      <c r="P21" s="19"/>
      <c r="Q21" s="19"/>
      <c r="R21" s="19"/>
      <c r="S21" s="3"/>
    </row>
    <row r="22" spans="1:19" ht="15.75" customHeight="1">
      <c r="A22" s="3"/>
      <c r="B22" s="800"/>
      <c r="C22" s="20"/>
      <c r="D22" s="27" t="s">
        <v>727</v>
      </c>
      <c r="E22" s="334" t="s">
        <v>90</v>
      </c>
      <c r="F22" s="28">
        <f t="shared" si="2"/>
        <v>1</v>
      </c>
      <c r="G22" s="355" t="s">
        <v>726</v>
      </c>
      <c r="H22" s="334" t="s">
        <v>359</v>
      </c>
      <c r="I22" s="28">
        <f t="shared" si="3"/>
        <v>0</v>
      </c>
      <c r="J22" s="28"/>
      <c r="K22" s="20"/>
      <c r="L22" s="19"/>
      <c r="M22" s="19"/>
      <c r="N22" s="19"/>
      <c r="O22" s="20"/>
      <c r="P22" s="19"/>
      <c r="Q22" s="19"/>
      <c r="R22" s="19"/>
      <c r="S22" s="3"/>
    </row>
    <row r="23" spans="1:19" ht="15.75" customHeight="1">
      <c r="A23" s="3"/>
      <c r="B23" s="800"/>
      <c r="C23" s="20"/>
      <c r="D23" s="28"/>
      <c r="E23" s="28"/>
      <c r="F23" s="28"/>
      <c r="G23" s="28"/>
      <c r="H23" s="28"/>
      <c r="I23" s="28"/>
      <c r="J23" s="28"/>
      <c r="K23" s="20"/>
      <c r="L23" s="19"/>
      <c r="M23" s="19"/>
      <c r="N23" s="19"/>
      <c r="O23" s="20"/>
      <c r="P23" s="19"/>
      <c r="Q23" s="19"/>
      <c r="R23" s="19"/>
      <c r="S23" s="3"/>
    </row>
    <row r="24" spans="1:19" ht="15.75" customHeight="1">
      <c r="A24" s="3"/>
      <c r="B24" s="800"/>
      <c r="C24" s="20"/>
      <c r="D24" s="44" t="s">
        <v>728</v>
      </c>
      <c r="E24" s="32">
        <f>(SUM(F18:F22)+SUM(I18:I22))/8</f>
        <v>0.75</v>
      </c>
      <c r="F24" s="28"/>
      <c r="G24" s="28"/>
      <c r="H24" s="28"/>
      <c r="I24" s="28"/>
      <c r="J24" s="28"/>
      <c r="K24" s="20"/>
      <c r="L24" s="19"/>
      <c r="M24" s="19"/>
      <c r="N24" s="19"/>
      <c r="O24" s="20"/>
      <c r="P24" s="19"/>
      <c r="Q24" s="19"/>
      <c r="R24" s="19"/>
      <c r="S24" s="3"/>
    </row>
    <row r="25" spans="1:19" ht="15.75" customHeight="1">
      <c r="A25" s="3"/>
      <c r="B25" s="801"/>
      <c r="C25" s="20"/>
      <c r="D25" s="27"/>
      <c r="E25" s="28"/>
      <c r="F25" s="28"/>
      <c r="G25" s="28"/>
      <c r="H25" s="28"/>
      <c r="I25" s="28"/>
      <c r="J25" s="28"/>
      <c r="K25" s="20"/>
      <c r="L25" s="19"/>
      <c r="M25" s="19"/>
      <c r="N25" s="19"/>
      <c r="O25" s="20"/>
      <c r="P25" s="19"/>
      <c r="Q25" s="19"/>
      <c r="R25" s="19"/>
      <c r="S25" s="3"/>
    </row>
    <row r="26" spans="1:19" ht="15.75" customHeight="1">
      <c r="A26" s="3"/>
      <c r="B26" s="20"/>
      <c r="C26" s="20"/>
      <c r="D26" s="20"/>
      <c r="E26" s="20"/>
      <c r="F26" s="20"/>
      <c r="G26" s="20"/>
      <c r="H26" s="20"/>
      <c r="I26" s="20"/>
      <c r="J26" s="20"/>
      <c r="K26" s="20"/>
      <c r="L26" s="20"/>
      <c r="M26" s="20"/>
      <c r="N26" s="20"/>
      <c r="O26" s="20"/>
      <c r="P26" s="20"/>
      <c r="Q26" s="20"/>
      <c r="R26" s="20"/>
      <c r="S26" s="3"/>
    </row>
    <row r="27" spans="1:19" ht="15.75" customHeight="1">
      <c r="A27" s="3"/>
      <c r="B27" s="799" t="s">
        <v>729</v>
      </c>
      <c r="C27" s="20"/>
      <c r="D27" s="26" t="s">
        <v>730</v>
      </c>
      <c r="E27" s="26"/>
      <c r="F27" s="26"/>
      <c r="G27" s="26"/>
      <c r="H27" s="26"/>
      <c r="I27" s="26"/>
      <c r="J27" s="26"/>
      <c r="K27" s="20"/>
      <c r="L27" s="88">
        <v>0</v>
      </c>
      <c r="M27" s="19" t="s">
        <v>731</v>
      </c>
      <c r="N27" s="19"/>
      <c r="O27" s="20"/>
      <c r="P27" s="19"/>
      <c r="Q27" s="19"/>
      <c r="R27" s="19"/>
      <c r="S27" s="3"/>
    </row>
    <row r="28" spans="1:19" ht="15.75" customHeight="1">
      <c r="A28" s="3"/>
      <c r="B28" s="800"/>
      <c r="C28" s="20"/>
      <c r="D28" s="27"/>
      <c r="E28" s="27"/>
      <c r="F28" s="27"/>
      <c r="G28" s="27"/>
      <c r="H28" s="27"/>
      <c r="I28" s="27"/>
      <c r="J28" s="27"/>
      <c r="K28" s="20"/>
      <c r="L28" s="88">
        <v>1</v>
      </c>
      <c r="M28" s="19" t="s">
        <v>732</v>
      </c>
      <c r="N28" s="19"/>
      <c r="O28" s="20"/>
      <c r="P28" s="19"/>
      <c r="Q28" s="19"/>
      <c r="R28" s="19"/>
      <c r="S28" s="3"/>
    </row>
    <row r="29" spans="1:19" ht="15.75" customHeight="1">
      <c r="A29" s="3"/>
      <c r="B29" s="800"/>
      <c r="C29" s="20"/>
      <c r="D29" s="27" t="s">
        <v>663</v>
      </c>
      <c r="E29" s="920" t="s">
        <v>936</v>
      </c>
      <c r="F29" s="921"/>
      <c r="G29" s="921"/>
      <c r="H29" s="922"/>
      <c r="I29" s="27"/>
      <c r="J29" s="27"/>
      <c r="K29" s="20"/>
      <c r="L29" s="88">
        <v>2</v>
      </c>
      <c r="M29" s="19" t="s">
        <v>476</v>
      </c>
      <c r="N29" s="19"/>
      <c r="O29" s="20"/>
      <c r="P29" s="19"/>
      <c r="Q29" s="19"/>
      <c r="R29" s="19"/>
      <c r="S29" s="3"/>
    </row>
    <row r="30" spans="1:19" ht="15.75" customHeight="1">
      <c r="A30" s="3"/>
      <c r="B30" s="800"/>
      <c r="C30" s="20"/>
      <c r="D30" s="27" t="s">
        <v>733</v>
      </c>
      <c r="E30" s="202">
        <f>_xlfn.IFS(E29="None",0,E29="The operator gets performance feedback",1,E29="The architect gets performance feedback",2,E29="Curious occupants have access to performance feedback",3,E29="Typical  occupants have access to performance feedback",4,E29="Even passive occupants are presented with performance feedback",5)</f>
        <v>5</v>
      </c>
      <c r="F30" s="28"/>
      <c r="G30" s="28"/>
      <c r="H30" s="28"/>
      <c r="I30" s="27"/>
      <c r="J30" s="27"/>
      <c r="K30" s="20"/>
      <c r="L30" s="88">
        <v>3</v>
      </c>
      <c r="M30" s="19" t="s">
        <v>104</v>
      </c>
      <c r="N30" s="19"/>
      <c r="O30" s="20"/>
      <c r="P30" s="19"/>
      <c r="Q30" s="19"/>
      <c r="R30" s="19"/>
      <c r="S30" s="3"/>
    </row>
    <row r="31" spans="1:19" ht="15.75" customHeight="1">
      <c r="A31" s="3"/>
      <c r="B31" s="800"/>
      <c r="C31" s="20"/>
      <c r="D31" s="28"/>
      <c r="E31" s="28"/>
      <c r="F31" s="28"/>
      <c r="G31" s="28"/>
      <c r="H31" s="28"/>
      <c r="I31" s="28"/>
      <c r="J31" s="28"/>
      <c r="K31" s="20"/>
      <c r="L31" s="88">
        <v>4</v>
      </c>
      <c r="M31" s="19" t="s">
        <v>108</v>
      </c>
      <c r="N31" s="19"/>
      <c r="O31" s="20"/>
      <c r="P31" s="19"/>
      <c r="Q31" s="19"/>
      <c r="R31" s="19"/>
      <c r="S31" s="3"/>
    </row>
    <row r="32" spans="1:19" ht="15.75" customHeight="1">
      <c r="A32" s="3"/>
      <c r="B32" s="801"/>
      <c r="C32" s="20"/>
      <c r="D32" s="28"/>
      <c r="E32" s="28"/>
      <c r="F32" s="28"/>
      <c r="G32" s="28"/>
      <c r="H32" s="28"/>
      <c r="I32" s="28"/>
      <c r="J32" s="28"/>
      <c r="K32" s="20"/>
      <c r="L32" s="88">
        <v>5</v>
      </c>
      <c r="M32" s="19" t="s">
        <v>115</v>
      </c>
      <c r="N32" s="19"/>
      <c r="O32" s="20"/>
      <c r="P32" s="19"/>
      <c r="Q32" s="19"/>
      <c r="R32" s="19"/>
      <c r="S32" s="3"/>
    </row>
    <row r="33" spans="1:19" ht="15.75" customHeight="1">
      <c r="A33" s="3"/>
      <c r="B33" s="3"/>
      <c r="C33" s="3"/>
      <c r="D33" s="3"/>
      <c r="E33" s="3"/>
      <c r="F33" s="3"/>
      <c r="G33" s="3"/>
      <c r="H33" s="3"/>
      <c r="I33" s="3"/>
      <c r="J33" s="3"/>
      <c r="K33" s="3"/>
      <c r="L33" s="3"/>
      <c r="M33" s="3"/>
      <c r="N33" s="3"/>
      <c r="O33" s="3"/>
      <c r="P33" s="3"/>
      <c r="Q33" s="3"/>
      <c r="R33" s="3"/>
      <c r="S33" s="3"/>
    </row>
    <row r="34" spans="1:19" ht="15.75" customHeight="1">
      <c r="A34" s="3"/>
      <c r="B34" s="3"/>
      <c r="C34" s="3"/>
      <c r="D34" s="3"/>
      <c r="E34" s="3"/>
      <c r="F34" s="3"/>
      <c r="G34" s="3"/>
      <c r="H34" s="3"/>
      <c r="I34" s="3"/>
      <c r="J34" s="3"/>
      <c r="K34" s="3"/>
      <c r="L34" s="3"/>
      <c r="M34" s="3"/>
      <c r="N34" s="3"/>
      <c r="O34" s="3"/>
      <c r="P34" s="3"/>
      <c r="Q34" s="3"/>
      <c r="R34" s="3"/>
      <c r="S34" s="3"/>
    </row>
    <row r="35" spans="1:19" ht="15.75" customHeight="1">
      <c r="A35" s="3"/>
      <c r="B35" s="3"/>
      <c r="C35" s="3"/>
      <c r="D35" s="3"/>
      <c r="E35" s="3"/>
      <c r="F35" s="3"/>
      <c r="G35" s="3"/>
      <c r="H35" s="3"/>
      <c r="I35" s="3"/>
      <c r="J35" s="3"/>
      <c r="K35" s="3"/>
      <c r="L35" s="3"/>
      <c r="M35" s="3"/>
      <c r="N35" s="3"/>
      <c r="O35" s="3"/>
      <c r="P35" s="3"/>
      <c r="Q35" s="3"/>
      <c r="R35" s="3"/>
      <c r="S35" s="3"/>
    </row>
    <row r="36" spans="1:19" ht="15.75" customHeight="1">
      <c r="A36" s="3"/>
      <c r="B36" s="3"/>
      <c r="C36" s="3"/>
      <c r="D36" s="3"/>
      <c r="E36" s="3"/>
      <c r="F36" s="3"/>
      <c r="G36" s="3"/>
      <c r="H36" s="3"/>
      <c r="I36" s="3"/>
      <c r="J36" s="3"/>
      <c r="K36" s="3"/>
      <c r="L36" s="3"/>
      <c r="M36" s="3"/>
      <c r="N36" s="3"/>
      <c r="O36" s="3"/>
      <c r="P36" s="3"/>
      <c r="Q36" s="3"/>
      <c r="R36" s="3"/>
      <c r="S36" s="3"/>
    </row>
    <row r="37" spans="1:19" ht="15.75" customHeight="1">
      <c r="A37" s="3"/>
      <c r="B37" s="3"/>
      <c r="C37" s="3"/>
      <c r="D37" s="3"/>
      <c r="E37" s="3"/>
      <c r="F37" s="3"/>
      <c r="G37" s="3"/>
      <c r="H37" s="3"/>
      <c r="I37" s="3"/>
      <c r="J37" s="3"/>
      <c r="K37" s="3"/>
      <c r="L37" s="3"/>
      <c r="M37" s="3"/>
      <c r="N37" s="3"/>
      <c r="O37" s="3"/>
      <c r="P37" s="3"/>
      <c r="Q37" s="3"/>
      <c r="R37" s="3"/>
      <c r="S37" s="3"/>
    </row>
    <row r="38" spans="1:19" ht="15.75" customHeight="1">
      <c r="A38" s="3"/>
      <c r="B38" s="3"/>
      <c r="C38" s="3"/>
      <c r="D38" s="3"/>
      <c r="E38" s="3"/>
      <c r="F38" s="3"/>
      <c r="G38" s="3"/>
      <c r="H38" s="3"/>
      <c r="I38" s="3"/>
      <c r="J38" s="3"/>
      <c r="K38" s="3"/>
      <c r="L38" s="3"/>
      <c r="M38" s="3"/>
      <c r="N38" s="3"/>
      <c r="O38" s="3"/>
      <c r="P38" s="3"/>
      <c r="Q38" s="3"/>
      <c r="R38" s="3"/>
      <c r="S38" s="3"/>
    </row>
    <row r="39" spans="1:19" ht="15.75" customHeight="1">
      <c r="A39" s="3"/>
      <c r="B39" s="3"/>
      <c r="C39" s="3"/>
      <c r="D39" s="3"/>
      <c r="E39" s="3"/>
      <c r="F39" s="3"/>
      <c r="G39" s="3"/>
      <c r="H39" s="3"/>
      <c r="I39" s="3"/>
      <c r="J39" s="3"/>
      <c r="K39" s="3"/>
      <c r="L39" s="3"/>
      <c r="M39" s="3"/>
      <c r="N39" s="3"/>
      <c r="O39" s="3"/>
      <c r="P39" s="3"/>
      <c r="Q39" s="3"/>
      <c r="R39" s="3"/>
      <c r="S39" s="3"/>
    </row>
    <row r="40" spans="1:19" ht="15.75" customHeight="1">
      <c r="A40" s="3"/>
      <c r="B40" s="3"/>
      <c r="C40" s="3"/>
      <c r="D40" s="3"/>
      <c r="E40" s="3"/>
      <c r="F40" s="3"/>
      <c r="G40" s="3"/>
      <c r="H40" s="3"/>
      <c r="I40" s="3"/>
      <c r="J40" s="3"/>
      <c r="K40" s="3"/>
      <c r="L40" s="3"/>
      <c r="M40" s="3"/>
      <c r="N40" s="3"/>
      <c r="O40" s="3"/>
      <c r="P40" s="3"/>
      <c r="Q40" s="3"/>
      <c r="R40" s="3"/>
      <c r="S40" s="3"/>
    </row>
    <row r="41" spans="1:19" ht="15.75" customHeight="1">
      <c r="A41" s="3"/>
      <c r="B41" s="3"/>
      <c r="C41" s="3"/>
      <c r="D41" s="3"/>
      <c r="E41" s="3"/>
      <c r="F41" s="3"/>
      <c r="G41" s="3"/>
      <c r="H41" s="3"/>
      <c r="I41" s="3"/>
      <c r="J41" s="3"/>
      <c r="K41" s="3"/>
      <c r="L41" s="3"/>
      <c r="M41" s="3"/>
      <c r="N41" s="3"/>
      <c r="O41" s="3"/>
      <c r="P41" s="3"/>
      <c r="Q41" s="3"/>
      <c r="R41" s="3"/>
      <c r="S41" s="3"/>
    </row>
    <row r="42" spans="1:19" ht="15.75" customHeight="1">
      <c r="A42" s="3"/>
      <c r="B42" s="3"/>
      <c r="C42" s="3"/>
      <c r="D42" s="3"/>
      <c r="E42" s="3"/>
      <c r="F42" s="3"/>
      <c r="G42" s="3"/>
      <c r="H42" s="3"/>
      <c r="I42" s="3"/>
      <c r="J42" s="3"/>
      <c r="K42" s="3"/>
      <c r="L42" s="3"/>
      <c r="M42" s="3"/>
      <c r="N42" s="3"/>
      <c r="O42" s="3"/>
      <c r="P42" s="3"/>
      <c r="Q42" s="3"/>
      <c r="R42" s="3"/>
      <c r="S42" s="3"/>
    </row>
    <row r="43" spans="1:19" ht="15.75" customHeight="1">
      <c r="A43" s="3"/>
      <c r="B43" s="3"/>
      <c r="C43" s="3"/>
      <c r="D43" s="3"/>
      <c r="E43" s="3"/>
      <c r="F43" s="3"/>
      <c r="G43" s="3"/>
      <c r="H43" s="3"/>
      <c r="I43" s="3"/>
      <c r="J43" s="3"/>
      <c r="K43" s="3"/>
      <c r="L43" s="3"/>
      <c r="M43" s="3"/>
      <c r="N43" s="3"/>
      <c r="O43" s="3"/>
      <c r="P43" s="3"/>
      <c r="Q43" s="3"/>
      <c r="R43" s="3"/>
      <c r="S43" s="3"/>
    </row>
    <row r="44" spans="1:19" ht="15.75" customHeight="1">
      <c r="A44" s="3"/>
      <c r="B44" s="3"/>
      <c r="C44" s="3"/>
      <c r="D44" s="3"/>
      <c r="E44" s="3"/>
      <c r="F44" s="3"/>
      <c r="G44" s="3"/>
      <c r="H44" s="3"/>
      <c r="I44" s="3"/>
      <c r="J44" s="3"/>
      <c r="K44" s="3"/>
      <c r="L44" s="3"/>
      <c r="M44" s="3"/>
      <c r="N44" s="3"/>
      <c r="O44" s="3"/>
      <c r="P44" s="3"/>
      <c r="Q44" s="3"/>
      <c r="R44" s="3"/>
      <c r="S44" s="3"/>
    </row>
    <row r="45" spans="1:19" ht="15.75" customHeight="1">
      <c r="A45" s="3"/>
      <c r="B45" s="3"/>
      <c r="C45" s="3"/>
      <c r="D45" s="3"/>
      <c r="E45" s="3"/>
      <c r="F45" s="3"/>
      <c r="G45" s="3"/>
      <c r="H45" s="3"/>
      <c r="I45" s="3"/>
      <c r="J45" s="3"/>
      <c r="K45" s="3"/>
      <c r="L45" s="3"/>
      <c r="M45" s="3"/>
      <c r="N45" s="3"/>
      <c r="O45" s="3"/>
      <c r="P45" s="3"/>
      <c r="Q45" s="3"/>
      <c r="R45" s="3"/>
      <c r="S45" s="3"/>
    </row>
    <row r="46" spans="1:19" ht="15.75" customHeight="1">
      <c r="A46" s="3"/>
      <c r="B46" s="3"/>
      <c r="C46" s="3"/>
      <c r="D46" s="3"/>
      <c r="E46" s="3"/>
      <c r="F46" s="3"/>
      <c r="G46" s="3"/>
      <c r="H46" s="3"/>
      <c r="I46" s="3"/>
      <c r="J46" s="3"/>
      <c r="K46" s="3"/>
      <c r="L46" s="3"/>
      <c r="M46" s="3"/>
      <c r="N46" s="3"/>
      <c r="O46" s="3"/>
      <c r="P46" s="3"/>
      <c r="Q46" s="3"/>
      <c r="R46" s="3"/>
      <c r="S46" s="3"/>
    </row>
    <row r="47" spans="1:19" ht="15.75" customHeight="1">
      <c r="A47" s="3"/>
      <c r="B47" s="3"/>
      <c r="C47" s="3"/>
      <c r="D47" s="3"/>
      <c r="E47" s="3"/>
      <c r="F47" s="3"/>
      <c r="G47" s="3"/>
      <c r="H47" s="3"/>
      <c r="I47" s="3"/>
      <c r="J47" s="3"/>
      <c r="K47" s="3"/>
      <c r="L47" s="3"/>
      <c r="M47" s="3"/>
      <c r="N47" s="3"/>
      <c r="O47" s="3"/>
      <c r="P47" s="3"/>
      <c r="Q47" s="3"/>
      <c r="R47" s="3"/>
      <c r="S47" s="3"/>
    </row>
    <row r="48" spans="1:19" ht="15.75" customHeight="1">
      <c r="A48" s="3"/>
      <c r="B48" s="3"/>
      <c r="C48" s="3"/>
      <c r="D48" s="3"/>
      <c r="E48" s="3"/>
      <c r="F48" s="3"/>
      <c r="G48" s="3"/>
      <c r="H48" s="3"/>
      <c r="I48" s="3"/>
      <c r="J48" s="3"/>
      <c r="K48" s="3"/>
      <c r="L48" s="3"/>
      <c r="M48" s="3"/>
      <c r="N48" s="3"/>
      <c r="O48" s="3"/>
      <c r="P48" s="3"/>
      <c r="Q48" s="3"/>
      <c r="R48" s="3"/>
      <c r="S48" s="3"/>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NUvKhOndlLQJMvE1V/3BHsEcHaFAoGj/U+vpUejYJ4NAKcroqKDe+//SJk9h2d71JTdPXFGtFWOjpGQ5x/tu+g==" saltValue="mHZeIXNt12qlEl3bBBD8aA==" spinCount="100000" sheet="1" objects="1" scenarios="1"/>
  <mergeCells count="7">
    <mergeCell ref="E29:H29"/>
    <mergeCell ref="B27:B32"/>
    <mergeCell ref="D6:E6"/>
    <mergeCell ref="D18:E18"/>
    <mergeCell ref="D3:F3"/>
    <mergeCell ref="B4:B14"/>
    <mergeCell ref="B16:B25"/>
  </mergeCells>
  <dataValidations count="2">
    <dataValidation type="list" allowBlank="1" showErrorMessage="1" sqref="E7:E11 H7:H11 E19:E22 H19:H22" xr:uid="{00000000-0002-0000-0A00-000000000000}">
      <formula1>"Yes,No"</formula1>
    </dataValidation>
    <dataValidation type="list" allowBlank="1" showErrorMessage="1" sqref="E29:H29" xr:uid="{989E42BF-0554-4320-BDBE-C360A120176F}">
      <formula1>"None,The operator gets performance feedback,The architect gets performance feedback,Curious occupants have access to performance feedback,Typical  occupants have access to performance feedback,Even passive occupants are presented with performance feedback"</formula1>
    </dataValidation>
  </dataValidations>
  <pageMargins left="0.7" right="0.7" top="0.75" bottom="0.75" header="0" footer="0"/>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AB1001"/>
  <sheetViews>
    <sheetView workbookViewId="0">
      <pane ySplit="2" topLeftCell="A12" activePane="bottomLeft" state="frozen"/>
      <selection pane="bottomLeft" activeCell="H35" sqref="H35"/>
    </sheetView>
  </sheetViews>
  <sheetFormatPr defaultColWidth="14.42578125" defaultRowHeight="15" customHeight="1"/>
  <cols>
    <col min="1" max="1" width="19" customWidth="1"/>
    <col min="2" max="3" width="3.5703125" customWidth="1"/>
    <col min="4" max="4" width="5" hidden="1" customWidth="1"/>
    <col min="5" max="5" width="44.85546875" customWidth="1"/>
    <col min="6" max="6" width="14.85546875" customWidth="1"/>
    <col min="7" max="7" width="1.28515625" customWidth="1"/>
    <col min="8" max="8" width="48.140625" customWidth="1"/>
    <col min="9" max="9" width="5" customWidth="1"/>
  </cols>
  <sheetData>
    <row r="1" spans="1:28" ht="17.25" customHeight="1">
      <c r="A1" s="3"/>
      <c r="B1" s="3"/>
      <c r="C1" s="3"/>
      <c r="D1" s="3"/>
      <c r="E1" s="3"/>
      <c r="F1" s="3"/>
      <c r="G1" s="3"/>
      <c r="H1" s="3"/>
      <c r="I1" s="3"/>
      <c r="J1" s="3"/>
      <c r="K1" s="3"/>
      <c r="L1" s="3"/>
      <c r="M1" s="3"/>
      <c r="N1" s="3"/>
      <c r="O1" s="3"/>
      <c r="P1" s="3"/>
      <c r="Q1" s="3"/>
      <c r="R1" s="3"/>
      <c r="S1" s="3"/>
      <c r="T1" s="3"/>
      <c r="U1" s="3"/>
      <c r="V1" s="3"/>
      <c r="W1" s="3"/>
      <c r="X1" s="3"/>
      <c r="Y1" s="3"/>
      <c r="Z1" s="3"/>
      <c r="AA1" s="3"/>
      <c r="AB1" s="3"/>
    </row>
    <row r="2" spans="1:28" ht="41.25" customHeight="1">
      <c r="B2" s="3"/>
      <c r="C2" s="17"/>
      <c r="D2" s="203"/>
      <c r="E2" s="203" t="s">
        <v>734</v>
      </c>
      <c r="F2" s="17"/>
      <c r="G2" s="17"/>
      <c r="H2" s="17"/>
      <c r="I2" s="3"/>
      <c r="J2" s="3"/>
      <c r="K2" s="3"/>
      <c r="L2" s="3"/>
      <c r="M2" s="3"/>
      <c r="N2" s="3"/>
      <c r="O2" s="3"/>
      <c r="P2" s="3"/>
      <c r="Q2" s="3"/>
      <c r="R2" s="3"/>
      <c r="S2" s="3"/>
      <c r="T2" s="3"/>
      <c r="U2" s="3"/>
      <c r="V2" s="3"/>
      <c r="W2" s="3"/>
      <c r="X2" s="3"/>
      <c r="Y2" s="3"/>
      <c r="Z2" s="3"/>
      <c r="AA2" s="3"/>
      <c r="AB2" s="3"/>
    </row>
    <row r="3" spans="1:28" ht="18.75" customHeight="1">
      <c r="A3" s="933" t="s">
        <v>735</v>
      </c>
      <c r="B3" s="20"/>
      <c r="C3" s="28"/>
      <c r="D3" s="28"/>
      <c r="E3" s="28" t="str">
        <f ca="1">MID(CELL("filename"),SEARCH("[",CELL("filename"))+1,SEARCH("]",CELL("filename"))-SEARCH("[",CELL("filename"))-1)</f>
        <v>Super Spreadsheet Version 1.4.xlsx</v>
      </c>
      <c r="F3" s="28"/>
      <c r="G3" s="28"/>
      <c r="H3" s="28"/>
      <c r="I3" s="3"/>
      <c r="J3" s="3"/>
      <c r="K3" s="3"/>
      <c r="L3" s="3"/>
      <c r="M3" s="3"/>
      <c r="N3" s="3"/>
      <c r="O3" s="3"/>
      <c r="P3" s="3"/>
      <c r="Q3" s="3"/>
      <c r="R3" s="3"/>
      <c r="S3" s="3"/>
      <c r="T3" s="3"/>
      <c r="U3" s="3"/>
      <c r="V3" s="3"/>
      <c r="W3" s="3"/>
      <c r="X3" s="3"/>
      <c r="Y3" s="3"/>
      <c r="Z3" s="3"/>
      <c r="AA3" s="3"/>
      <c r="AB3" s="3"/>
    </row>
    <row r="4" spans="1:28">
      <c r="A4" s="800"/>
      <c r="B4" s="20"/>
      <c r="C4" s="26" t="s">
        <v>736</v>
      </c>
      <c r="D4" s="26" t="s">
        <v>736</v>
      </c>
      <c r="E4" s="26"/>
      <c r="F4" s="26"/>
      <c r="G4" s="26"/>
      <c r="H4" s="26"/>
      <c r="I4" s="3"/>
      <c r="J4" s="3"/>
      <c r="K4" s="3"/>
      <c r="L4" s="3"/>
      <c r="M4" s="3"/>
      <c r="N4" s="3"/>
      <c r="O4" s="3"/>
      <c r="P4" s="3"/>
      <c r="Q4" s="3"/>
      <c r="R4" s="3"/>
      <c r="S4" s="3"/>
      <c r="T4" s="3"/>
      <c r="U4" s="3"/>
      <c r="V4" s="3"/>
      <c r="W4" s="3"/>
      <c r="X4" s="3"/>
      <c r="Y4" s="3"/>
      <c r="Z4" s="3"/>
      <c r="AA4" s="3"/>
      <c r="AB4" s="3"/>
    </row>
    <row r="5" spans="1:28">
      <c r="A5" s="800"/>
      <c r="B5" s="20"/>
      <c r="C5" s="26" t="s">
        <v>1</v>
      </c>
      <c r="D5" s="26" t="s">
        <v>1</v>
      </c>
      <c r="E5" s="26"/>
      <c r="F5" s="26"/>
      <c r="G5" s="26"/>
      <c r="H5" s="26"/>
      <c r="I5" s="3"/>
      <c r="J5" s="3"/>
      <c r="K5" s="3"/>
      <c r="L5" s="3"/>
      <c r="M5" s="3"/>
      <c r="N5" s="3"/>
      <c r="O5" s="3"/>
      <c r="P5" s="3"/>
      <c r="Q5" s="3"/>
      <c r="R5" s="3"/>
      <c r="S5" s="3"/>
      <c r="T5" s="3"/>
      <c r="U5" s="3"/>
      <c r="V5" s="3"/>
      <c r="W5" s="3"/>
      <c r="X5" s="3"/>
      <c r="Y5" s="3"/>
      <c r="Z5" s="3"/>
      <c r="AA5" s="3"/>
      <c r="AB5" s="3"/>
    </row>
    <row r="6" spans="1:28">
      <c r="A6" s="801"/>
      <c r="B6" s="20"/>
      <c r="C6" s="934"/>
      <c r="D6" s="28" t="s">
        <v>737</v>
      </c>
      <c r="E6" s="28" t="s">
        <v>738</v>
      </c>
      <c r="F6" s="28">
        <f>'2 - Community'!E6</f>
        <v>50</v>
      </c>
      <c r="G6" s="28"/>
      <c r="H6" s="28" t="s">
        <v>738</v>
      </c>
      <c r="I6" s="3"/>
      <c r="J6" s="3"/>
      <c r="K6" s="3"/>
      <c r="L6" s="3"/>
      <c r="M6" s="3"/>
      <c r="N6" s="3"/>
      <c r="O6" s="3"/>
      <c r="P6" s="3"/>
      <c r="Q6" s="3"/>
      <c r="R6" s="3"/>
      <c r="S6" s="3"/>
      <c r="T6" s="3"/>
      <c r="U6" s="3"/>
      <c r="V6" s="3"/>
      <c r="W6" s="3"/>
      <c r="X6" s="3"/>
      <c r="Y6" s="3"/>
      <c r="Z6" s="3"/>
      <c r="AA6" s="3"/>
      <c r="AB6" s="3"/>
    </row>
    <row r="7" spans="1:28">
      <c r="A7" s="20"/>
      <c r="B7" s="20"/>
      <c r="C7" s="800"/>
      <c r="D7" s="28" t="s">
        <v>739</v>
      </c>
      <c r="E7" s="28" t="s">
        <v>740</v>
      </c>
      <c r="F7" s="27">
        <f>INT(LEFT('2 - Community'!E12,1))</f>
        <v>4</v>
      </c>
      <c r="G7" s="27"/>
      <c r="H7" s="28" t="s">
        <v>741</v>
      </c>
      <c r="I7" s="3"/>
      <c r="J7" s="3"/>
      <c r="K7" s="3"/>
      <c r="L7" s="3"/>
      <c r="M7" s="3"/>
      <c r="N7" s="3"/>
      <c r="O7" s="3"/>
      <c r="P7" s="3"/>
      <c r="Q7" s="3"/>
      <c r="R7" s="3"/>
      <c r="S7" s="3"/>
      <c r="T7" s="3"/>
      <c r="U7" s="3"/>
      <c r="V7" s="3"/>
      <c r="W7" s="3"/>
      <c r="X7" s="3"/>
      <c r="Y7" s="3"/>
      <c r="Z7" s="3"/>
      <c r="AA7" s="3"/>
      <c r="AB7" s="3"/>
    </row>
    <row r="8" spans="1:28">
      <c r="A8" s="20"/>
      <c r="B8" s="20"/>
      <c r="C8" s="800"/>
      <c r="D8" s="28" t="s">
        <v>742</v>
      </c>
      <c r="E8" s="28" t="s">
        <v>743</v>
      </c>
      <c r="F8" s="41">
        <f>'2 - Community'!E20</f>
        <v>0.21428571428571427</v>
      </c>
      <c r="G8" s="41"/>
      <c r="H8" s="28" t="s">
        <v>744</v>
      </c>
      <c r="I8" s="3"/>
      <c r="J8" s="3"/>
      <c r="K8" s="3"/>
      <c r="L8" s="3"/>
      <c r="M8" s="3"/>
      <c r="N8" s="3"/>
      <c r="O8" s="3"/>
      <c r="P8" s="3"/>
      <c r="Q8" s="3"/>
      <c r="R8" s="3"/>
      <c r="S8" s="3"/>
      <c r="T8" s="3"/>
      <c r="U8" s="3"/>
      <c r="V8" s="3"/>
      <c r="W8" s="3"/>
      <c r="X8" s="3"/>
      <c r="Y8" s="3"/>
      <c r="Z8" s="3"/>
      <c r="AA8" s="3"/>
      <c r="AB8" s="3"/>
    </row>
    <row r="9" spans="1:28">
      <c r="A9" s="20"/>
      <c r="B9" s="20"/>
      <c r="C9" s="800"/>
      <c r="D9" s="28" t="s">
        <v>745</v>
      </c>
      <c r="E9" s="28" t="s">
        <v>746</v>
      </c>
      <c r="F9" s="153">
        <f>'2 - Community'!E32</f>
        <v>1925</v>
      </c>
      <c r="G9" s="179"/>
      <c r="H9" s="28" t="s">
        <v>629</v>
      </c>
      <c r="I9" s="3"/>
      <c r="J9" s="3"/>
      <c r="K9" s="3"/>
      <c r="L9" s="3"/>
      <c r="M9" s="3"/>
      <c r="N9" s="3"/>
      <c r="O9" s="3"/>
      <c r="P9" s="3"/>
      <c r="Q9" s="3"/>
      <c r="R9" s="3"/>
      <c r="S9" s="3"/>
      <c r="T9" s="3"/>
      <c r="U9" s="3"/>
      <c r="V9" s="3"/>
      <c r="W9" s="3"/>
      <c r="X9" s="3"/>
      <c r="Y9" s="3"/>
      <c r="Z9" s="3"/>
      <c r="AA9" s="3"/>
      <c r="AB9" s="3"/>
    </row>
    <row r="10" spans="1:28">
      <c r="A10" s="20"/>
      <c r="B10" s="20"/>
      <c r="C10" s="800"/>
      <c r="D10" s="28" t="s">
        <v>745</v>
      </c>
      <c r="E10" s="28" t="s">
        <v>747</v>
      </c>
      <c r="F10" s="153">
        <f>F9*Introduction!F15</f>
        <v>125125</v>
      </c>
      <c r="G10" s="179"/>
      <c r="H10" s="28" t="s">
        <v>629</v>
      </c>
      <c r="I10" s="3"/>
      <c r="J10" s="3"/>
      <c r="L10" s="3"/>
      <c r="M10" s="3"/>
      <c r="N10" s="3"/>
      <c r="O10" s="3"/>
      <c r="P10" s="3"/>
      <c r="Q10" s="3"/>
      <c r="R10" s="3"/>
      <c r="S10" s="3"/>
      <c r="T10" s="3"/>
      <c r="U10" s="3"/>
      <c r="V10" s="3"/>
      <c r="W10" s="3"/>
      <c r="X10" s="3"/>
      <c r="Y10" s="3"/>
      <c r="Z10" s="3"/>
      <c r="AA10" s="3"/>
      <c r="AB10" s="3"/>
    </row>
    <row r="11" spans="1:28">
      <c r="A11" s="20"/>
      <c r="B11" s="20"/>
      <c r="C11" s="800"/>
      <c r="D11" s="28" t="s">
        <v>745</v>
      </c>
      <c r="E11" s="28" t="s">
        <v>748</v>
      </c>
      <c r="F11" s="41">
        <f>'2 - Community'!E33</f>
        <v>0.57056101792943903</v>
      </c>
      <c r="G11" s="204"/>
      <c r="H11" s="28" t="s">
        <v>749</v>
      </c>
      <c r="I11" s="3"/>
      <c r="J11" s="3"/>
      <c r="K11" s="3"/>
      <c r="L11" s="3"/>
      <c r="M11" s="3"/>
      <c r="N11" s="3"/>
      <c r="O11" s="3"/>
      <c r="P11" s="3"/>
      <c r="Q11" s="3"/>
      <c r="R11" s="3"/>
      <c r="S11" s="3"/>
      <c r="T11" s="3"/>
      <c r="U11" s="3"/>
      <c r="V11" s="3"/>
      <c r="W11" s="3"/>
      <c r="X11" s="3"/>
      <c r="Y11" s="3"/>
      <c r="Z11" s="3"/>
      <c r="AA11" s="3"/>
      <c r="AB11" s="3"/>
    </row>
    <row r="12" spans="1:28">
      <c r="A12" s="20"/>
      <c r="B12" s="20"/>
      <c r="C12" s="800"/>
      <c r="D12" s="28" t="s">
        <v>750</v>
      </c>
      <c r="E12" s="28" t="s">
        <v>129</v>
      </c>
      <c r="F12" s="41">
        <f>'2 - Community'!E40</f>
        <v>0.89333333333333331</v>
      </c>
      <c r="G12" s="41"/>
      <c r="H12" s="28" t="s">
        <v>751</v>
      </c>
      <c r="I12" s="3"/>
      <c r="J12" s="3"/>
      <c r="K12" s="3"/>
      <c r="M12" s="3"/>
      <c r="N12" s="3"/>
      <c r="O12" s="3"/>
      <c r="P12" s="3"/>
      <c r="Q12" s="3"/>
      <c r="R12" s="3"/>
      <c r="S12" s="3"/>
      <c r="T12" s="3"/>
      <c r="U12" s="3"/>
      <c r="V12" s="3"/>
      <c r="W12" s="3"/>
      <c r="X12" s="3"/>
      <c r="Y12" s="3"/>
      <c r="Z12" s="3"/>
      <c r="AA12" s="3"/>
      <c r="AB12" s="3"/>
    </row>
    <row r="13" spans="1:28">
      <c r="A13" s="20"/>
      <c r="B13" s="20"/>
      <c r="C13" s="800"/>
      <c r="D13" s="28" t="s">
        <v>752</v>
      </c>
      <c r="E13" s="28" t="s">
        <v>753</v>
      </c>
      <c r="F13" s="41">
        <f>'2 - Community'!E48</f>
        <v>0.21428571428571427</v>
      </c>
      <c r="G13" s="46"/>
      <c r="H13" s="28" t="s">
        <v>754</v>
      </c>
      <c r="I13" s="3"/>
      <c r="J13" s="3"/>
      <c r="K13" s="3"/>
      <c r="L13" s="3"/>
      <c r="M13" s="3"/>
      <c r="N13" s="3"/>
      <c r="O13" s="3"/>
      <c r="P13" s="3"/>
      <c r="Q13" s="3"/>
      <c r="R13" s="3"/>
      <c r="S13" s="3"/>
      <c r="T13" s="3"/>
      <c r="U13" s="3"/>
      <c r="V13" s="3"/>
      <c r="W13" s="3"/>
      <c r="X13" s="3"/>
      <c r="Y13" s="3"/>
      <c r="Z13" s="3"/>
      <c r="AA13" s="3"/>
      <c r="AB13" s="3"/>
    </row>
    <row r="14" spans="1:28">
      <c r="A14" s="20"/>
      <c r="B14" s="20"/>
      <c r="C14" s="935"/>
      <c r="D14" s="28" t="s">
        <v>752</v>
      </c>
      <c r="E14" s="28" t="s">
        <v>755</v>
      </c>
      <c r="F14" s="204">
        <f>'2 - Community'!E49</f>
        <v>2.8571428571428571E-2</v>
      </c>
      <c r="G14" s="205"/>
      <c r="H14" s="28" t="s">
        <v>756</v>
      </c>
      <c r="I14" s="3"/>
      <c r="J14" s="3"/>
      <c r="K14" s="3"/>
      <c r="L14" s="3"/>
      <c r="M14" s="3"/>
      <c r="N14" s="3"/>
      <c r="O14" s="3"/>
      <c r="P14" s="3"/>
      <c r="Q14" s="3"/>
      <c r="R14" s="3"/>
      <c r="S14" s="3"/>
      <c r="T14" s="3"/>
      <c r="U14" s="3"/>
      <c r="V14" s="3"/>
      <c r="W14" s="3"/>
      <c r="X14" s="3"/>
      <c r="Y14" s="3"/>
      <c r="Z14" s="3"/>
      <c r="AA14" s="3"/>
      <c r="AB14" s="3"/>
    </row>
    <row r="15" spans="1:28">
      <c r="A15" s="20"/>
      <c r="B15" s="20"/>
      <c r="C15" s="26" t="s">
        <v>171</v>
      </c>
      <c r="D15" s="26" t="s">
        <v>171</v>
      </c>
      <c r="E15" s="26"/>
      <c r="F15" s="26"/>
      <c r="G15" s="26"/>
      <c r="H15" s="26"/>
      <c r="I15" s="3"/>
      <c r="J15" s="3"/>
      <c r="K15" s="3"/>
      <c r="L15" s="3"/>
      <c r="M15" s="3"/>
      <c r="N15" s="3"/>
      <c r="O15" s="3"/>
      <c r="P15" s="3"/>
      <c r="Q15" s="3"/>
      <c r="R15" s="3"/>
      <c r="S15" s="3"/>
      <c r="T15" s="3"/>
      <c r="U15" s="3"/>
      <c r="V15" s="3"/>
      <c r="W15" s="3"/>
      <c r="X15" s="3"/>
      <c r="Y15" s="3"/>
      <c r="Z15" s="3"/>
      <c r="AA15" s="3"/>
      <c r="AB15" s="3"/>
    </row>
    <row r="16" spans="1:28">
      <c r="A16" s="20"/>
      <c r="B16" s="20"/>
      <c r="C16" s="929"/>
      <c r="D16" s="28" t="s">
        <v>757</v>
      </c>
      <c r="E16" s="28" t="s">
        <v>758</v>
      </c>
      <c r="F16" s="41">
        <f>'3 - Ecology'!E10/Introduction!F13</f>
        <v>6.8300198077910643E-2</v>
      </c>
      <c r="G16" s="28"/>
      <c r="H16" s="28" t="s">
        <v>759</v>
      </c>
      <c r="I16" s="3"/>
      <c r="J16" s="3"/>
      <c r="K16" s="3"/>
      <c r="L16" s="3"/>
      <c r="M16" s="3"/>
      <c r="N16" s="3"/>
      <c r="O16" s="3"/>
      <c r="P16" s="3"/>
      <c r="Q16" s="3"/>
      <c r="R16" s="3"/>
      <c r="S16" s="3"/>
      <c r="T16" s="3"/>
      <c r="U16" s="3"/>
      <c r="V16" s="3"/>
      <c r="W16" s="3"/>
      <c r="X16" s="3"/>
      <c r="Y16" s="3"/>
      <c r="Z16" s="3"/>
      <c r="AA16" s="3"/>
      <c r="AB16" s="3"/>
    </row>
    <row r="17" spans="1:28">
      <c r="A17" s="20"/>
      <c r="B17" s="20"/>
      <c r="C17" s="930"/>
      <c r="D17" s="28" t="s">
        <v>760</v>
      </c>
      <c r="E17" s="28" t="s">
        <v>761</v>
      </c>
      <c r="F17" s="41">
        <f>'3 - Ecology'!E14/Introduction!F13</f>
        <v>0</v>
      </c>
      <c r="G17" s="28"/>
      <c r="H17" s="28" t="s">
        <v>762</v>
      </c>
      <c r="I17" s="3"/>
      <c r="J17" s="3"/>
      <c r="K17" s="3"/>
      <c r="L17" s="3"/>
      <c r="M17" s="3"/>
      <c r="N17" s="3"/>
      <c r="O17" s="3"/>
      <c r="P17" s="3"/>
      <c r="Q17" s="3"/>
      <c r="R17" s="3"/>
      <c r="S17" s="3"/>
      <c r="T17" s="3"/>
      <c r="U17" s="3"/>
      <c r="V17" s="3"/>
      <c r="W17" s="3"/>
      <c r="X17" s="3"/>
      <c r="Y17" s="3"/>
      <c r="Z17" s="3"/>
      <c r="AA17" s="3"/>
      <c r="AB17" s="3"/>
    </row>
    <row r="18" spans="1:28">
      <c r="A18" s="20"/>
      <c r="B18" s="20"/>
      <c r="C18" s="930"/>
      <c r="D18" s="28" t="s">
        <v>760</v>
      </c>
      <c r="E18" s="28" t="s">
        <v>763</v>
      </c>
      <c r="F18" s="41">
        <f>1-(F17/F16)</f>
        <v>1</v>
      </c>
      <c r="G18" s="28"/>
      <c r="H18" s="28" t="s">
        <v>764</v>
      </c>
      <c r="I18" s="3"/>
      <c r="J18" s="3"/>
      <c r="K18" s="3"/>
      <c r="L18" s="3"/>
      <c r="M18" s="3"/>
      <c r="N18" s="3"/>
      <c r="O18" s="3"/>
      <c r="P18" s="3"/>
      <c r="Q18" s="3"/>
      <c r="R18" s="3"/>
      <c r="S18" s="3"/>
      <c r="T18" s="3"/>
      <c r="U18" s="3"/>
      <c r="V18" s="3"/>
      <c r="W18" s="3"/>
      <c r="X18" s="3"/>
      <c r="Y18" s="3"/>
      <c r="Z18" s="3"/>
      <c r="AA18" s="3"/>
      <c r="AB18" s="3"/>
    </row>
    <row r="19" spans="1:28">
      <c r="A19" s="20"/>
      <c r="B19" s="20"/>
      <c r="C19" s="930"/>
      <c r="D19" s="28" t="s">
        <v>765</v>
      </c>
      <c r="E19" s="28" t="s">
        <v>766</v>
      </c>
      <c r="F19" s="41">
        <f>'3 - Ecology'!E21/Introduction!F13</f>
        <v>4.9959650795979749E-2</v>
      </c>
      <c r="G19" s="28"/>
      <c r="H19" s="28" t="s">
        <v>767</v>
      </c>
      <c r="I19" s="3"/>
      <c r="J19" s="3"/>
      <c r="K19" s="3"/>
      <c r="L19" s="3"/>
      <c r="M19" s="3"/>
      <c r="N19" s="3"/>
      <c r="O19" s="3"/>
      <c r="P19" s="3"/>
      <c r="Q19" s="3"/>
      <c r="R19" s="3"/>
      <c r="S19" s="3"/>
      <c r="T19" s="3"/>
      <c r="U19" s="3"/>
      <c r="V19" s="3"/>
      <c r="W19" s="3"/>
      <c r="X19" s="3"/>
      <c r="Y19" s="3"/>
      <c r="Z19" s="3"/>
      <c r="AA19" s="3"/>
      <c r="AB19" s="3"/>
    </row>
    <row r="20" spans="1:28">
      <c r="A20" s="20"/>
      <c r="B20" s="20"/>
      <c r="C20" s="931"/>
      <c r="D20" s="28" t="s">
        <v>765</v>
      </c>
      <c r="E20" s="28" t="s">
        <v>768</v>
      </c>
      <c r="F20" s="41">
        <f>'3 - Ecology'!E21/'3 - Ecology'!E10</f>
        <v>0.73147153598281422</v>
      </c>
      <c r="G20" s="28"/>
      <c r="H20" s="28" t="s">
        <v>769</v>
      </c>
      <c r="I20" s="3"/>
      <c r="J20" s="3"/>
      <c r="K20" s="3"/>
      <c r="L20" s="3"/>
      <c r="M20" s="3"/>
      <c r="N20" s="3"/>
      <c r="O20" s="3"/>
      <c r="P20" s="3"/>
      <c r="Q20" s="3"/>
      <c r="R20" s="3"/>
      <c r="S20" s="3"/>
      <c r="T20" s="3"/>
      <c r="U20" s="3"/>
      <c r="V20" s="3"/>
      <c r="W20" s="3"/>
      <c r="X20" s="3"/>
      <c r="Y20" s="3"/>
      <c r="Z20" s="3"/>
      <c r="AA20" s="3"/>
      <c r="AB20" s="3"/>
    </row>
    <row r="21" spans="1:28" ht="15.75" customHeight="1">
      <c r="A21" s="20"/>
      <c r="B21" s="20"/>
      <c r="C21" s="26" t="s">
        <v>222</v>
      </c>
      <c r="D21" s="26" t="s">
        <v>222</v>
      </c>
      <c r="E21" s="26"/>
      <c r="F21" s="26"/>
      <c r="G21" s="26"/>
      <c r="H21" s="26"/>
      <c r="I21" s="3"/>
      <c r="J21" s="3"/>
      <c r="K21" s="3"/>
      <c r="L21" s="3"/>
      <c r="M21" s="3"/>
      <c r="N21" s="3"/>
      <c r="O21" s="3"/>
      <c r="P21" s="3"/>
      <c r="Q21" s="3"/>
      <c r="R21" s="3"/>
      <c r="S21" s="3"/>
      <c r="T21" s="3"/>
      <c r="U21" s="3"/>
      <c r="V21" s="3"/>
      <c r="W21" s="3"/>
      <c r="X21" s="3"/>
      <c r="Y21" s="3"/>
      <c r="Z21" s="3"/>
      <c r="AA21" s="3"/>
      <c r="AB21" s="3"/>
    </row>
    <row r="22" spans="1:28" ht="15.75" customHeight="1">
      <c r="A22" s="20"/>
      <c r="B22" s="20"/>
      <c r="C22" s="928" t="s">
        <v>448</v>
      </c>
      <c r="D22" s="28" t="s">
        <v>770</v>
      </c>
      <c r="E22" s="28" t="s">
        <v>771</v>
      </c>
      <c r="F22" s="153">
        <f>'4 - Water'!H93</f>
        <v>1446.3653156923081</v>
      </c>
      <c r="G22" s="28"/>
      <c r="H22" s="28" t="s">
        <v>772</v>
      </c>
      <c r="I22" s="3"/>
      <c r="J22" s="3"/>
      <c r="K22" s="3"/>
      <c r="L22" s="3"/>
      <c r="M22" s="3"/>
      <c r="N22" s="3"/>
      <c r="O22" s="3"/>
      <c r="P22" s="3"/>
      <c r="Q22" s="3"/>
      <c r="R22" s="3"/>
      <c r="S22" s="3"/>
      <c r="T22" s="3"/>
      <c r="U22" s="3"/>
      <c r="V22" s="3"/>
      <c r="W22" s="3"/>
      <c r="X22" s="3"/>
      <c r="Y22" s="3"/>
      <c r="Z22" s="3"/>
      <c r="AA22" s="3"/>
      <c r="AB22" s="3"/>
    </row>
    <row r="23" spans="1:28" ht="15.75" customHeight="1">
      <c r="A23" s="20"/>
      <c r="B23" s="20"/>
      <c r="C23" s="926"/>
      <c r="D23" s="28" t="s">
        <v>770</v>
      </c>
      <c r="E23" s="28" t="s">
        <v>773</v>
      </c>
      <c r="F23" s="179">
        <f>F22/365</f>
        <v>3.9626447005268712</v>
      </c>
      <c r="G23" s="28"/>
      <c r="H23" s="28" t="s">
        <v>774</v>
      </c>
      <c r="I23" s="3"/>
      <c r="J23" s="3"/>
      <c r="K23" s="3"/>
      <c r="L23" s="3"/>
      <c r="M23" s="3"/>
      <c r="N23" s="3"/>
      <c r="O23" s="3"/>
      <c r="P23" s="3"/>
      <c r="Q23" s="3"/>
      <c r="R23" s="3"/>
      <c r="S23" s="3"/>
      <c r="T23" s="3"/>
      <c r="U23" s="3"/>
      <c r="V23" s="3"/>
      <c r="W23" s="3"/>
      <c r="X23" s="3"/>
      <c r="Y23" s="3"/>
      <c r="Z23" s="3"/>
      <c r="AA23" s="3"/>
      <c r="AB23" s="3"/>
    </row>
    <row r="24" spans="1:28" ht="15.75" customHeight="1">
      <c r="A24" s="20"/>
      <c r="B24" s="20"/>
      <c r="C24" s="926"/>
      <c r="D24" s="28" t="s">
        <v>770</v>
      </c>
      <c r="E24" s="28" t="s">
        <v>775</v>
      </c>
      <c r="F24" s="179">
        <f>'4 - Water'!H92/Introduction!F12</f>
        <v>3.8372957355102053</v>
      </c>
      <c r="G24" s="28"/>
      <c r="H24" s="28" t="s">
        <v>776</v>
      </c>
      <c r="I24" s="3"/>
      <c r="J24" s="3"/>
      <c r="K24" s="3"/>
      <c r="L24" s="3"/>
      <c r="M24" s="3"/>
      <c r="N24" s="3"/>
      <c r="O24" s="3"/>
      <c r="P24" s="3"/>
      <c r="Q24" s="3"/>
      <c r="R24" s="3"/>
      <c r="S24" s="3"/>
      <c r="T24" s="3"/>
      <c r="U24" s="3"/>
      <c r="V24" s="3"/>
      <c r="W24" s="3"/>
      <c r="X24" s="3"/>
      <c r="Y24" s="3"/>
      <c r="Z24" s="3"/>
      <c r="AA24" s="3"/>
      <c r="AB24" s="3"/>
    </row>
    <row r="25" spans="1:28" ht="15.75" customHeight="1">
      <c r="A25" s="20"/>
      <c r="B25" s="20"/>
      <c r="C25" s="926"/>
      <c r="D25" s="28" t="s">
        <v>777</v>
      </c>
      <c r="E25" s="28" t="s">
        <v>778</v>
      </c>
      <c r="F25" s="206">
        <f>'4 - Water'!J85</f>
        <v>0.11319286891657025</v>
      </c>
      <c r="G25" s="92"/>
      <c r="H25" s="92" t="s">
        <v>779</v>
      </c>
      <c r="I25" s="3"/>
      <c r="J25" s="3"/>
      <c r="K25" s="3"/>
      <c r="L25" s="3"/>
      <c r="M25" s="3"/>
      <c r="N25" s="3"/>
      <c r="O25" s="3"/>
      <c r="P25" s="3"/>
      <c r="Q25" s="3"/>
      <c r="R25" s="3"/>
      <c r="S25" s="3"/>
      <c r="T25" s="3"/>
      <c r="U25" s="3"/>
      <c r="V25" s="3"/>
      <c r="W25" s="3"/>
      <c r="X25" s="3"/>
      <c r="Y25" s="3"/>
      <c r="Z25" s="3"/>
      <c r="AA25" s="3"/>
      <c r="AB25" s="3"/>
    </row>
    <row r="26" spans="1:28" ht="15.75" customHeight="1">
      <c r="A26" s="20"/>
      <c r="B26" s="20"/>
      <c r="C26" s="926"/>
      <c r="D26" s="28" t="s">
        <v>780</v>
      </c>
      <c r="E26" s="28" t="s">
        <v>781</v>
      </c>
      <c r="F26" s="41">
        <f>'4 - Water'!K85</f>
        <v>0</v>
      </c>
      <c r="G26" s="28"/>
      <c r="H26" s="28" t="s">
        <v>782</v>
      </c>
      <c r="I26" s="3"/>
      <c r="J26" s="3"/>
      <c r="K26" s="3"/>
      <c r="L26" s="3"/>
      <c r="M26" s="3"/>
      <c r="N26" s="3"/>
      <c r="O26" s="3"/>
      <c r="P26" s="3"/>
      <c r="Q26" s="3"/>
      <c r="R26" s="3"/>
      <c r="S26" s="3"/>
      <c r="T26" s="3"/>
      <c r="U26" s="3"/>
      <c r="V26" s="3"/>
      <c r="W26" s="3"/>
      <c r="X26" s="3"/>
      <c r="Y26" s="3"/>
      <c r="Z26" s="3"/>
      <c r="AA26" s="3"/>
      <c r="AB26" s="3"/>
    </row>
    <row r="27" spans="1:28" ht="15.75" customHeight="1">
      <c r="A27" s="20"/>
      <c r="B27" s="20"/>
      <c r="C27" s="927"/>
      <c r="D27" s="207"/>
      <c r="E27" s="207" t="s">
        <v>783</v>
      </c>
      <c r="F27" s="208">
        <f>'4 - Water'!H100</f>
        <v>0.73717152496505445</v>
      </c>
      <c r="G27" s="207"/>
      <c r="H27" s="209"/>
      <c r="I27" s="3"/>
      <c r="J27" s="3"/>
      <c r="K27" s="3"/>
      <c r="L27" s="3"/>
      <c r="M27" s="3"/>
      <c r="N27" s="3"/>
      <c r="O27" s="3"/>
      <c r="P27" s="3"/>
      <c r="Q27" s="3"/>
      <c r="R27" s="3"/>
      <c r="S27" s="3"/>
      <c r="T27" s="3"/>
      <c r="U27" s="3"/>
      <c r="V27" s="3"/>
      <c r="W27" s="3"/>
      <c r="X27" s="3"/>
      <c r="Y27" s="3"/>
      <c r="Z27" s="3"/>
      <c r="AA27" s="3"/>
      <c r="AB27" s="3"/>
    </row>
    <row r="28" spans="1:28" ht="15.75" customHeight="1">
      <c r="A28" s="20"/>
      <c r="B28" s="20"/>
      <c r="C28" s="928" t="s">
        <v>442</v>
      </c>
      <c r="D28" s="76" t="s">
        <v>784</v>
      </c>
      <c r="E28" s="76" t="s">
        <v>785</v>
      </c>
      <c r="F28" s="210">
        <f>'4 - Water'!I93</f>
        <v>1583.0769230769231</v>
      </c>
      <c r="G28" s="76"/>
      <c r="H28" s="76" t="s">
        <v>772</v>
      </c>
      <c r="I28" s="3"/>
      <c r="J28" s="3"/>
      <c r="K28" s="3"/>
      <c r="L28" s="3"/>
      <c r="M28" s="3"/>
      <c r="N28" s="3"/>
      <c r="O28" s="3"/>
      <c r="P28" s="3"/>
      <c r="Q28" s="3"/>
      <c r="R28" s="3"/>
      <c r="S28" s="3"/>
      <c r="T28" s="3"/>
      <c r="U28" s="3"/>
      <c r="V28" s="3"/>
      <c r="W28" s="3"/>
      <c r="X28" s="3"/>
      <c r="Y28" s="3"/>
      <c r="Z28" s="3"/>
      <c r="AA28" s="3"/>
      <c r="AB28" s="3"/>
    </row>
    <row r="29" spans="1:28" ht="15.75" customHeight="1">
      <c r="A29" s="20"/>
      <c r="B29" s="20"/>
      <c r="C29" s="926"/>
      <c r="D29" s="28" t="s">
        <v>784</v>
      </c>
      <c r="E29" s="28" t="s">
        <v>786</v>
      </c>
      <c r="F29" s="211">
        <f>F28/'4 - Water'!H7</f>
        <v>4.337197049525817</v>
      </c>
      <c r="G29" s="28"/>
      <c r="H29" s="28" t="s">
        <v>787</v>
      </c>
      <c r="I29" s="3"/>
      <c r="J29" s="3"/>
      <c r="K29" s="3"/>
      <c r="L29" s="3"/>
      <c r="M29" s="3"/>
      <c r="N29" s="3"/>
      <c r="O29" s="3"/>
      <c r="P29" s="3"/>
      <c r="Q29" s="3"/>
      <c r="R29" s="3"/>
      <c r="S29" s="3"/>
      <c r="T29" s="3"/>
      <c r="U29" s="3"/>
      <c r="V29" s="3"/>
      <c r="W29" s="3"/>
      <c r="X29" s="3"/>
      <c r="Y29" s="3"/>
      <c r="Z29" s="3"/>
      <c r="AA29" s="3"/>
      <c r="AB29" s="3"/>
    </row>
    <row r="30" spans="1:28" ht="15.75" customHeight="1">
      <c r="A30" s="20"/>
      <c r="B30" s="20"/>
      <c r="C30" s="926"/>
      <c r="D30" s="28" t="s">
        <v>784</v>
      </c>
      <c r="E30" s="28" t="s">
        <v>788</v>
      </c>
      <c r="F30" s="211">
        <f>'4 - Water'!I92/Introduction!F12</f>
        <v>4.2</v>
      </c>
      <c r="G30" s="28"/>
      <c r="H30" s="28" t="s">
        <v>789</v>
      </c>
      <c r="I30" s="3"/>
      <c r="J30" s="3"/>
      <c r="K30" s="3"/>
      <c r="L30" s="3"/>
      <c r="M30" s="3"/>
      <c r="N30" s="3"/>
      <c r="O30" s="3"/>
      <c r="P30" s="3"/>
      <c r="Q30" s="3"/>
      <c r="R30" s="3"/>
      <c r="S30" s="3"/>
      <c r="T30" s="3"/>
      <c r="U30" s="3"/>
      <c r="V30" s="3"/>
      <c r="W30" s="3"/>
      <c r="X30" s="3"/>
      <c r="Y30" s="3"/>
      <c r="Z30" s="3"/>
      <c r="AA30" s="3"/>
      <c r="AB30" s="3"/>
    </row>
    <row r="31" spans="1:28" ht="15.75" customHeight="1">
      <c r="A31" s="20"/>
      <c r="B31" s="20"/>
      <c r="C31" s="926"/>
      <c r="D31" s="28" t="s">
        <v>777</v>
      </c>
      <c r="E31" s="28" t="s">
        <v>790</v>
      </c>
      <c r="F31" s="206">
        <f>'4 - Water'!K82/'4 - Water'!J82</f>
        <v>0.18912529550827423</v>
      </c>
      <c r="G31" s="92"/>
      <c r="H31" s="92" t="s">
        <v>779</v>
      </c>
      <c r="I31" s="3"/>
      <c r="J31" s="3"/>
      <c r="K31" s="3"/>
      <c r="L31" s="3"/>
      <c r="M31" s="3"/>
      <c r="N31" s="3"/>
      <c r="O31" s="3"/>
      <c r="P31" s="3"/>
      <c r="Q31" s="3"/>
      <c r="R31" s="3"/>
      <c r="S31" s="3"/>
      <c r="T31" s="3"/>
      <c r="U31" s="3"/>
      <c r="V31" s="3"/>
      <c r="W31" s="3"/>
      <c r="X31" s="3"/>
      <c r="Y31" s="3"/>
      <c r="Z31" s="3"/>
      <c r="AA31" s="3"/>
      <c r="AB31" s="3"/>
    </row>
    <row r="32" spans="1:28" ht="15.75" customHeight="1">
      <c r="A32" s="20"/>
      <c r="B32" s="20"/>
      <c r="C32" s="926"/>
      <c r="D32" s="39" t="s">
        <v>780</v>
      </c>
      <c r="E32" s="92" t="s">
        <v>791</v>
      </c>
      <c r="F32" s="206">
        <f>'4 - Water'!K86</f>
        <v>0</v>
      </c>
      <c r="G32" s="92"/>
      <c r="H32" s="92" t="s">
        <v>782</v>
      </c>
      <c r="I32" s="3"/>
      <c r="J32" s="3"/>
      <c r="K32" s="3"/>
      <c r="L32" s="3"/>
      <c r="M32" s="3"/>
      <c r="N32" s="3"/>
      <c r="O32" s="3"/>
      <c r="P32" s="3"/>
      <c r="Q32" s="3"/>
      <c r="R32" s="3"/>
      <c r="S32" s="3"/>
      <c r="T32" s="3"/>
      <c r="U32" s="3"/>
      <c r="V32" s="3"/>
      <c r="W32" s="3"/>
      <c r="X32" s="3"/>
      <c r="Y32" s="3"/>
      <c r="Z32" s="3"/>
      <c r="AA32" s="3"/>
      <c r="AB32" s="3"/>
    </row>
    <row r="33" spans="1:28" ht="15.75" customHeight="1">
      <c r="A33" s="20"/>
      <c r="B33" s="20"/>
      <c r="C33" s="927"/>
      <c r="D33" s="28"/>
      <c r="E33" s="39" t="s">
        <v>783</v>
      </c>
      <c r="F33" s="212">
        <f>'4 - Water'!I100</f>
        <v>0.71232876712328763</v>
      </c>
      <c r="G33" s="39"/>
      <c r="H33" s="39"/>
      <c r="I33" s="3"/>
      <c r="J33" s="3"/>
      <c r="K33" s="3"/>
      <c r="L33" s="3"/>
      <c r="M33" s="3"/>
      <c r="N33" s="3"/>
      <c r="O33" s="3"/>
      <c r="P33" s="3"/>
      <c r="Q33" s="3"/>
      <c r="R33" s="3"/>
      <c r="S33" s="3"/>
      <c r="T33" s="3"/>
      <c r="U33" s="3"/>
      <c r="V33" s="3"/>
      <c r="W33" s="3"/>
      <c r="X33" s="3"/>
      <c r="Y33" s="3"/>
      <c r="Z33" s="3"/>
      <c r="AA33" s="3"/>
      <c r="AB33" s="3"/>
    </row>
    <row r="34" spans="1:28" ht="15.75" customHeight="1">
      <c r="A34" s="20"/>
      <c r="B34" s="20"/>
      <c r="C34" s="924"/>
      <c r="D34" s="28" t="s">
        <v>792</v>
      </c>
      <c r="E34" s="28" t="s">
        <v>793</v>
      </c>
      <c r="F34" s="27" t="str">
        <f>'4 - Water'!H28</f>
        <v>No</v>
      </c>
      <c r="G34" s="28"/>
      <c r="H34" s="28" t="s">
        <v>358</v>
      </c>
      <c r="I34" s="3"/>
      <c r="J34" s="3"/>
      <c r="K34" s="3"/>
      <c r="L34" s="3"/>
      <c r="M34" s="3"/>
      <c r="N34" s="3"/>
      <c r="O34" s="3"/>
      <c r="P34" s="3"/>
      <c r="Q34" s="3"/>
      <c r="R34" s="3"/>
      <c r="S34" s="3"/>
      <c r="T34" s="3"/>
      <c r="U34" s="3"/>
      <c r="V34" s="3"/>
      <c r="W34" s="3"/>
      <c r="X34" s="3"/>
      <c r="Y34" s="3"/>
      <c r="Z34" s="3"/>
      <c r="AA34" s="3"/>
      <c r="AB34" s="3"/>
    </row>
    <row r="35" spans="1:28" ht="15.75" customHeight="1">
      <c r="A35" s="20"/>
      <c r="B35" s="20"/>
      <c r="C35" s="800"/>
      <c r="D35" s="28" t="s">
        <v>794</v>
      </c>
      <c r="E35" s="28" t="s">
        <v>795</v>
      </c>
      <c r="F35" s="41">
        <f>'4 - Water'!H118</f>
        <v>0.15310322060010273</v>
      </c>
      <c r="G35" s="28"/>
      <c r="H35" s="28" t="s">
        <v>796</v>
      </c>
      <c r="I35" s="3"/>
      <c r="J35" s="3"/>
      <c r="K35" s="3"/>
      <c r="L35" s="3"/>
      <c r="M35" s="3"/>
      <c r="N35" s="3"/>
      <c r="O35" s="3"/>
      <c r="P35" s="3"/>
      <c r="Q35" s="3"/>
      <c r="R35" s="3"/>
      <c r="S35" s="3"/>
      <c r="T35" s="3"/>
      <c r="U35" s="3"/>
      <c r="V35" s="3"/>
      <c r="W35" s="3"/>
      <c r="X35" s="3"/>
      <c r="Y35" s="3"/>
      <c r="Z35" s="3"/>
      <c r="AA35" s="3"/>
      <c r="AB35" s="3"/>
    </row>
    <row r="36" spans="1:28" ht="15.75" customHeight="1">
      <c r="A36" s="20"/>
      <c r="B36" s="20"/>
      <c r="C36" s="801"/>
      <c r="D36" s="28" t="s">
        <v>797</v>
      </c>
      <c r="E36" s="28" t="s">
        <v>798</v>
      </c>
      <c r="F36" s="28">
        <f>'4 - Water'!H124</f>
        <v>3</v>
      </c>
      <c r="G36" s="28"/>
      <c r="H36" s="28" t="s">
        <v>799</v>
      </c>
      <c r="I36" s="3"/>
      <c r="J36" s="3"/>
      <c r="K36" s="3"/>
      <c r="L36" s="3"/>
      <c r="M36" s="3"/>
      <c r="N36" s="3"/>
      <c r="O36" s="3"/>
      <c r="P36" s="3"/>
      <c r="Q36" s="3"/>
      <c r="R36" s="3"/>
      <c r="S36" s="3"/>
      <c r="T36" s="3"/>
      <c r="U36" s="3"/>
      <c r="V36" s="3"/>
      <c r="W36" s="3"/>
      <c r="X36" s="3"/>
      <c r="Y36" s="3"/>
      <c r="Z36" s="3"/>
      <c r="AA36" s="3"/>
      <c r="AB36" s="3"/>
    </row>
    <row r="37" spans="1:28" ht="15.75" customHeight="1">
      <c r="A37" s="20"/>
      <c r="B37" s="20"/>
      <c r="C37" s="26" t="s">
        <v>298</v>
      </c>
      <c r="D37" s="26" t="s">
        <v>298</v>
      </c>
      <c r="E37" s="26"/>
      <c r="F37" s="26"/>
      <c r="G37" s="26"/>
      <c r="H37" s="26"/>
      <c r="I37" s="3"/>
      <c r="J37" s="3"/>
      <c r="K37" s="3"/>
      <c r="L37" s="3"/>
      <c r="M37" s="3"/>
      <c r="N37" s="3"/>
      <c r="O37" s="3"/>
      <c r="P37" s="3"/>
      <c r="Q37" s="3"/>
      <c r="R37" s="3"/>
      <c r="S37" s="3"/>
      <c r="T37" s="3"/>
      <c r="U37" s="3"/>
      <c r="V37" s="3"/>
      <c r="W37" s="3"/>
      <c r="X37" s="3"/>
      <c r="Y37" s="3"/>
      <c r="Z37" s="3"/>
      <c r="AA37" s="3"/>
      <c r="AB37" s="3"/>
    </row>
    <row r="38" spans="1:28" ht="15.75" customHeight="1">
      <c r="A38" s="20"/>
      <c r="B38" s="20"/>
      <c r="C38" s="924"/>
      <c r="D38" s="28" t="s">
        <v>800</v>
      </c>
      <c r="E38" s="28" t="s">
        <v>312</v>
      </c>
      <c r="F38" s="182">
        <f>Introduction!F21/Introduction!F12</f>
        <v>73.469387755102048</v>
      </c>
      <c r="G38" s="28"/>
      <c r="H38" s="28" t="s">
        <v>801</v>
      </c>
      <c r="I38" s="3"/>
      <c r="J38" s="3"/>
      <c r="K38" s="3"/>
      <c r="L38" s="3"/>
      <c r="M38" s="3"/>
      <c r="N38" s="3"/>
      <c r="O38" s="3"/>
      <c r="P38" s="3"/>
      <c r="Q38" s="3"/>
      <c r="R38" s="3"/>
      <c r="S38" s="3"/>
      <c r="T38" s="3"/>
      <c r="U38" s="3"/>
      <c r="V38" s="3"/>
      <c r="W38" s="3"/>
      <c r="X38" s="3"/>
      <c r="Y38" s="3"/>
      <c r="Z38" s="3"/>
      <c r="AA38" s="3"/>
      <c r="AB38" s="3"/>
    </row>
    <row r="39" spans="1:28" ht="15.75" customHeight="1">
      <c r="A39" s="20"/>
      <c r="B39" s="20"/>
      <c r="C39" s="800"/>
      <c r="D39" s="28" t="s">
        <v>802</v>
      </c>
      <c r="E39" s="28" t="s">
        <v>803</v>
      </c>
      <c r="F39" s="182">
        <f>'5 - Economy'!E6</f>
        <v>150</v>
      </c>
      <c r="G39" s="28"/>
      <c r="H39" s="28" t="s">
        <v>801</v>
      </c>
      <c r="I39" s="3"/>
      <c r="J39" s="3"/>
      <c r="K39" s="3"/>
      <c r="L39" s="3"/>
      <c r="M39" s="3"/>
      <c r="N39" s="3"/>
      <c r="O39" s="3"/>
      <c r="P39" s="3"/>
      <c r="Q39" s="3"/>
      <c r="R39" s="3"/>
      <c r="S39" s="3"/>
      <c r="T39" s="3"/>
      <c r="U39" s="3"/>
      <c r="V39" s="3"/>
      <c r="W39" s="3"/>
      <c r="X39" s="3"/>
      <c r="Y39" s="3"/>
      <c r="Z39" s="3"/>
      <c r="AA39" s="3"/>
      <c r="AB39" s="3"/>
    </row>
    <row r="40" spans="1:28" ht="15.75" customHeight="1">
      <c r="A40" s="20"/>
      <c r="B40" s="20"/>
      <c r="C40" s="800"/>
      <c r="D40" s="28" t="s">
        <v>802</v>
      </c>
      <c r="E40" s="28" t="s">
        <v>315</v>
      </c>
      <c r="F40" s="41">
        <f>'5 - Economy'!E8</f>
        <v>0.51020408163265296</v>
      </c>
      <c r="G40" s="28"/>
      <c r="H40" s="28" t="s">
        <v>801</v>
      </c>
      <c r="I40" s="3"/>
      <c r="J40" s="3"/>
      <c r="K40" s="3"/>
      <c r="L40" s="3"/>
      <c r="M40" s="3"/>
      <c r="N40" s="3"/>
      <c r="O40" s="3"/>
      <c r="P40" s="3"/>
      <c r="Q40" s="3"/>
      <c r="R40" s="3"/>
      <c r="S40" s="3"/>
      <c r="T40" s="3"/>
      <c r="U40" s="3"/>
      <c r="V40" s="3"/>
      <c r="W40" s="3"/>
      <c r="X40" s="3"/>
      <c r="Y40" s="3"/>
      <c r="Z40" s="3"/>
      <c r="AA40" s="3"/>
      <c r="AB40" s="3"/>
    </row>
    <row r="41" spans="1:28" ht="15.75" customHeight="1">
      <c r="A41" s="20"/>
      <c r="B41" s="20"/>
      <c r="C41" s="932"/>
      <c r="D41" s="28"/>
      <c r="E41" s="28" t="s">
        <v>804</v>
      </c>
      <c r="F41" s="41">
        <f>'5 - Economy'!E26</f>
        <v>0.8</v>
      </c>
      <c r="G41" s="28"/>
      <c r="H41" s="28" t="s">
        <v>805</v>
      </c>
      <c r="I41" s="3"/>
      <c r="J41" s="3"/>
      <c r="K41" s="3"/>
      <c r="L41" s="3"/>
      <c r="M41" s="3"/>
      <c r="N41" s="3"/>
      <c r="O41" s="3"/>
      <c r="P41" s="3"/>
      <c r="Q41" s="3"/>
      <c r="R41" s="3"/>
      <c r="S41" s="3"/>
      <c r="T41" s="3"/>
      <c r="U41" s="3"/>
      <c r="V41" s="3"/>
      <c r="W41" s="3"/>
      <c r="X41" s="3"/>
      <c r="Y41" s="3"/>
      <c r="Z41" s="3"/>
      <c r="AA41" s="3"/>
      <c r="AB41" s="3"/>
    </row>
    <row r="42" spans="1:28" ht="15.75" customHeight="1">
      <c r="A42" s="20"/>
      <c r="B42" s="20"/>
      <c r="C42" s="28"/>
      <c r="D42" s="28"/>
      <c r="E42" s="28" t="s">
        <v>356</v>
      </c>
      <c r="F42" s="41">
        <f>'5 - Economy'!E27</f>
        <v>0.14285714285714299</v>
      </c>
      <c r="G42" s="28"/>
      <c r="H42" s="28"/>
      <c r="I42" s="3"/>
      <c r="J42" s="3"/>
      <c r="K42" s="3"/>
      <c r="L42" s="3"/>
      <c r="M42" s="3"/>
      <c r="N42" s="3"/>
      <c r="O42" s="3"/>
      <c r="P42" s="3"/>
      <c r="Q42" s="3"/>
      <c r="R42" s="3"/>
      <c r="S42" s="3"/>
      <c r="T42" s="3"/>
      <c r="U42" s="3"/>
      <c r="V42" s="3"/>
      <c r="W42" s="3"/>
      <c r="X42" s="3"/>
      <c r="Y42" s="3"/>
      <c r="Z42" s="3"/>
      <c r="AA42" s="3"/>
      <c r="AB42" s="3"/>
    </row>
    <row r="43" spans="1:28" ht="15.75" customHeight="1">
      <c r="A43" s="20"/>
      <c r="B43" s="20"/>
      <c r="C43" s="26" t="s">
        <v>428</v>
      </c>
      <c r="D43" s="26" t="s">
        <v>428</v>
      </c>
      <c r="E43" s="26"/>
      <c r="F43" s="26"/>
      <c r="G43" s="26"/>
      <c r="H43" s="26"/>
      <c r="I43" s="3"/>
      <c r="J43" s="3"/>
      <c r="K43" s="3"/>
      <c r="L43" s="3"/>
      <c r="M43" s="3"/>
      <c r="N43" s="3"/>
      <c r="O43" s="3"/>
      <c r="P43" s="3"/>
      <c r="Q43" s="3"/>
      <c r="R43" s="3"/>
      <c r="S43" s="3"/>
      <c r="T43" s="3"/>
      <c r="U43" s="3"/>
      <c r="V43" s="3"/>
      <c r="W43" s="3"/>
      <c r="X43" s="3"/>
      <c r="Y43" s="3"/>
      <c r="Z43" s="3"/>
      <c r="AA43" s="3"/>
      <c r="AB43" s="3"/>
    </row>
    <row r="44" spans="1:28" ht="15.75" customHeight="1">
      <c r="A44" s="20"/>
      <c r="B44" s="20"/>
      <c r="C44" s="925" t="s">
        <v>448</v>
      </c>
      <c r="D44" s="28" t="s">
        <v>806</v>
      </c>
      <c r="E44" s="28" t="s">
        <v>807</v>
      </c>
      <c r="F44" s="173">
        <f>'6 - Energy'!F42</f>
        <v>20.181632653061225</v>
      </c>
      <c r="G44" s="28"/>
      <c r="H44" s="213" t="s">
        <v>808</v>
      </c>
      <c r="I44" s="3"/>
      <c r="J44" s="3"/>
      <c r="K44" s="3"/>
      <c r="L44" s="3"/>
      <c r="M44" s="3"/>
      <c r="N44" s="3"/>
      <c r="O44" s="3"/>
      <c r="P44" s="3"/>
      <c r="Q44" s="3"/>
      <c r="R44" s="3"/>
      <c r="S44" s="3"/>
      <c r="T44" s="3"/>
      <c r="U44" s="3"/>
      <c r="V44" s="3"/>
      <c r="W44" s="3"/>
      <c r="X44" s="3"/>
      <c r="Y44" s="3"/>
      <c r="Z44" s="3"/>
      <c r="AA44" s="3"/>
      <c r="AB44" s="3"/>
    </row>
    <row r="45" spans="1:28" ht="15.75" customHeight="1">
      <c r="A45" s="20"/>
      <c r="B45" s="20"/>
      <c r="C45" s="926"/>
      <c r="D45" s="28" t="s">
        <v>809</v>
      </c>
      <c r="E45" s="28" t="s">
        <v>810</v>
      </c>
      <c r="F45" s="173">
        <f>'6 - Energy'!F41</f>
        <v>25.053061224489795</v>
      </c>
      <c r="G45" s="28"/>
      <c r="H45" s="213" t="s">
        <v>435</v>
      </c>
      <c r="I45" s="3"/>
      <c r="J45" s="3"/>
      <c r="K45" s="3"/>
      <c r="L45" s="3"/>
      <c r="M45" s="3"/>
      <c r="N45" s="3"/>
      <c r="O45" s="3"/>
      <c r="P45" s="3"/>
      <c r="Q45" s="3"/>
      <c r="R45" s="3"/>
      <c r="S45" s="3"/>
      <c r="T45" s="3"/>
      <c r="U45" s="3"/>
      <c r="V45" s="3"/>
      <c r="W45" s="3"/>
      <c r="X45" s="3"/>
      <c r="Y45" s="3"/>
      <c r="Z45" s="3"/>
      <c r="AA45" s="3"/>
      <c r="AB45" s="3"/>
    </row>
    <row r="46" spans="1:28" ht="15.75" customHeight="1">
      <c r="A46" s="20"/>
      <c r="B46" s="20"/>
      <c r="C46" s="926"/>
      <c r="D46" s="28" t="s">
        <v>811</v>
      </c>
      <c r="E46" s="28" t="s">
        <v>812</v>
      </c>
      <c r="F46" s="41">
        <f>'6 - Energy'!F43</f>
        <v>0.77575963718820862</v>
      </c>
      <c r="G46" s="28"/>
      <c r="H46" s="213" t="s">
        <v>813</v>
      </c>
      <c r="I46" s="3"/>
      <c r="J46" s="3"/>
      <c r="K46" s="3"/>
      <c r="L46" s="3"/>
      <c r="M46" s="3"/>
      <c r="N46" s="3"/>
      <c r="O46" s="3"/>
      <c r="P46" s="3"/>
      <c r="Q46" s="3"/>
      <c r="R46" s="3"/>
      <c r="S46" s="3"/>
      <c r="T46" s="3"/>
      <c r="U46" s="3"/>
      <c r="V46" s="3"/>
      <c r="W46" s="3"/>
      <c r="X46" s="3"/>
      <c r="Y46" s="3"/>
      <c r="Z46" s="3"/>
      <c r="AA46" s="3"/>
      <c r="AB46" s="3"/>
    </row>
    <row r="47" spans="1:28" ht="15.75" customHeight="1">
      <c r="A47" s="20"/>
      <c r="B47" s="20"/>
      <c r="C47" s="926"/>
      <c r="D47" s="28"/>
      <c r="E47" s="214" t="s">
        <v>814</v>
      </c>
      <c r="F47" s="215">
        <f>'6 - Energy'!F45</f>
        <v>7.2095510204081616</v>
      </c>
      <c r="G47" s="214"/>
      <c r="H47" s="216" t="s">
        <v>815</v>
      </c>
      <c r="I47" s="3"/>
      <c r="J47" s="3"/>
      <c r="K47" s="3"/>
      <c r="L47" s="3"/>
      <c r="M47" s="3"/>
      <c r="N47" s="3"/>
      <c r="O47" s="3"/>
      <c r="P47" s="3"/>
      <c r="Q47" s="3"/>
      <c r="R47" s="3"/>
      <c r="S47" s="3"/>
      <c r="T47" s="3"/>
      <c r="U47" s="3"/>
      <c r="V47" s="3"/>
      <c r="W47" s="3"/>
      <c r="X47" s="3"/>
      <c r="Y47" s="3"/>
      <c r="Z47" s="3"/>
      <c r="AA47" s="3"/>
      <c r="AB47" s="3"/>
    </row>
    <row r="48" spans="1:28" ht="15.75" customHeight="1">
      <c r="A48" s="20"/>
      <c r="B48" s="20"/>
      <c r="C48" s="926"/>
      <c r="D48" s="28"/>
      <c r="E48" s="217" t="s">
        <v>482</v>
      </c>
      <c r="F48" s="218">
        <f>'6 - Energy'!F40</f>
        <v>0.19444444444444445</v>
      </c>
      <c r="G48" s="92"/>
      <c r="H48" s="216"/>
      <c r="I48" s="3"/>
      <c r="J48" s="3"/>
      <c r="K48" s="3"/>
      <c r="L48" s="3"/>
      <c r="M48" s="3"/>
      <c r="N48" s="3"/>
      <c r="O48" s="3"/>
      <c r="P48" s="3"/>
      <c r="Q48" s="3"/>
      <c r="R48" s="3"/>
      <c r="S48" s="3"/>
      <c r="T48" s="3"/>
      <c r="U48" s="3"/>
      <c r="V48" s="3"/>
      <c r="W48" s="3"/>
      <c r="X48" s="3"/>
      <c r="Y48" s="3"/>
      <c r="Z48" s="3"/>
      <c r="AA48" s="3"/>
      <c r="AB48" s="3"/>
    </row>
    <row r="49" spans="1:28" ht="15.75" customHeight="1">
      <c r="A49" s="20"/>
      <c r="B49" s="20"/>
      <c r="C49" s="927"/>
      <c r="D49" s="28"/>
      <c r="E49" s="39" t="s">
        <v>816</v>
      </c>
      <c r="F49" s="212">
        <f>'6 - Energy'!F46</f>
        <v>0.72136296855641813</v>
      </c>
      <c r="G49" s="39"/>
      <c r="H49" s="219"/>
      <c r="I49" s="3"/>
      <c r="J49" s="3"/>
      <c r="K49" s="3"/>
      <c r="L49" s="3"/>
      <c r="M49" s="3"/>
      <c r="N49" s="3"/>
      <c r="O49" s="3"/>
      <c r="P49" s="3"/>
      <c r="Q49" s="3"/>
      <c r="R49" s="3"/>
      <c r="S49" s="3"/>
      <c r="T49" s="3"/>
      <c r="U49" s="3"/>
      <c r="V49" s="3"/>
      <c r="W49" s="3"/>
      <c r="X49" s="3"/>
      <c r="Y49" s="3"/>
      <c r="Z49" s="3"/>
      <c r="AA49" s="3"/>
      <c r="AB49" s="3"/>
    </row>
    <row r="50" spans="1:28" ht="15.75" customHeight="1">
      <c r="A50" s="20"/>
      <c r="B50" s="20"/>
      <c r="C50" s="928" t="s">
        <v>442</v>
      </c>
      <c r="D50" s="28" t="s">
        <v>817</v>
      </c>
      <c r="E50" s="28" t="s">
        <v>818</v>
      </c>
      <c r="F50" s="173">
        <f>'6 - Energy'!G42</f>
        <v>17.336718367346936</v>
      </c>
      <c r="G50" s="28"/>
      <c r="H50" s="213" t="s">
        <v>435</v>
      </c>
      <c r="I50" s="3"/>
      <c r="J50" s="3"/>
      <c r="K50" s="3"/>
      <c r="L50" s="3"/>
      <c r="M50" s="3"/>
      <c r="N50" s="3"/>
      <c r="O50" s="3"/>
      <c r="P50" s="3"/>
      <c r="Q50" s="3"/>
      <c r="R50" s="3"/>
      <c r="S50" s="3"/>
      <c r="T50" s="3"/>
      <c r="U50" s="3"/>
      <c r="V50" s="3"/>
      <c r="W50" s="3"/>
      <c r="X50" s="3"/>
      <c r="Y50" s="3"/>
      <c r="Z50" s="3"/>
      <c r="AA50" s="3"/>
      <c r="AB50" s="3"/>
    </row>
    <row r="51" spans="1:28" ht="15.75" customHeight="1">
      <c r="A51" s="20"/>
      <c r="B51" s="20"/>
      <c r="C51" s="926"/>
      <c r="D51" s="28" t="s">
        <v>819</v>
      </c>
      <c r="E51" s="28" t="s">
        <v>820</v>
      </c>
      <c r="F51" s="173">
        <f>'6 - Energy'!G41</f>
        <v>27.558367346938777</v>
      </c>
      <c r="G51" s="28"/>
      <c r="H51" s="213" t="s">
        <v>435</v>
      </c>
      <c r="I51" s="3"/>
      <c r="J51" s="3"/>
      <c r="K51" s="3"/>
      <c r="L51" s="3"/>
      <c r="M51" s="3"/>
      <c r="N51" s="3"/>
      <c r="O51" s="3"/>
      <c r="P51" s="3"/>
      <c r="Q51" s="3"/>
      <c r="R51" s="3"/>
      <c r="S51" s="3"/>
      <c r="T51" s="3"/>
      <c r="U51" s="3"/>
      <c r="V51" s="3"/>
      <c r="W51" s="3"/>
      <c r="X51" s="3"/>
      <c r="Y51" s="3"/>
      <c r="Z51" s="3"/>
      <c r="AA51" s="3"/>
      <c r="AB51" s="3"/>
    </row>
    <row r="52" spans="1:28" ht="15.75" customHeight="1">
      <c r="A52" s="20"/>
      <c r="B52" s="20"/>
      <c r="C52" s="926"/>
      <c r="D52" s="28" t="s">
        <v>821</v>
      </c>
      <c r="E52" s="28" t="s">
        <v>812</v>
      </c>
      <c r="F52" s="41">
        <f>'6 - Energy'!G43</f>
        <v>0.80736979591836733</v>
      </c>
      <c r="G52" s="28"/>
      <c r="H52" s="213" t="s">
        <v>813</v>
      </c>
      <c r="I52" s="3"/>
      <c r="J52" s="3"/>
      <c r="K52" s="3"/>
      <c r="L52" s="3"/>
      <c r="M52" s="3"/>
      <c r="N52" s="3"/>
      <c r="O52" s="3"/>
      <c r="P52" s="3"/>
      <c r="Q52" s="3"/>
      <c r="R52" s="3"/>
      <c r="S52" s="3"/>
      <c r="T52" s="3"/>
      <c r="U52" s="3"/>
      <c r="V52" s="3"/>
      <c r="W52" s="3"/>
      <c r="X52" s="3"/>
      <c r="Y52" s="3"/>
      <c r="Z52" s="3"/>
      <c r="AA52" s="3"/>
      <c r="AB52" s="3"/>
    </row>
    <row r="53" spans="1:28" ht="15.75" customHeight="1">
      <c r="A53" s="20"/>
      <c r="B53" s="20"/>
      <c r="C53" s="926"/>
      <c r="D53" s="28" t="s">
        <v>806</v>
      </c>
      <c r="E53" s="92" t="s">
        <v>822</v>
      </c>
      <c r="F53" s="220">
        <f>'6 - Energy'!G45</f>
        <v>6.1797982040816315</v>
      </c>
      <c r="G53" s="92"/>
      <c r="H53" s="221" t="s">
        <v>823</v>
      </c>
      <c r="I53" s="3"/>
      <c r="J53" s="3"/>
      <c r="K53" s="3"/>
      <c r="L53" s="3"/>
      <c r="M53" s="3"/>
      <c r="N53" s="3"/>
      <c r="O53" s="3"/>
      <c r="P53" s="3"/>
      <c r="Q53" s="3"/>
      <c r="R53" s="3"/>
      <c r="S53" s="3"/>
      <c r="T53" s="3"/>
      <c r="U53" s="3"/>
      <c r="V53" s="3"/>
      <c r="W53" s="3"/>
      <c r="X53" s="3"/>
      <c r="Y53" s="3"/>
      <c r="Z53" s="3"/>
      <c r="AA53" s="3"/>
      <c r="AB53" s="3"/>
    </row>
    <row r="54" spans="1:28" ht="15.75" customHeight="1">
      <c r="A54" s="20"/>
      <c r="B54" s="20"/>
      <c r="C54" s="926"/>
      <c r="D54" s="28"/>
      <c r="E54" s="217" t="s">
        <v>482</v>
      </c>
      <c r="F54" s="218">
        <f>'6 - Energy'!G40</f>
        <v>0.37090909090909097</v>
      </c>
      <c r="G54" s="92"/>
      <c r="H54" s="216"/>
      <c r="I54" s="3"/>
      <c r="J54" s="3"/>
      <c r="K54" s="3"/>
      <c r="L54" s="3"/>
      <c r="M54" s="3"/>
      <c r="N54" s="3"/>
      <c r="O54" s="3"/>
      <c r="P54" s="3"/>
      <c r="Q54" s="3"/>
      <c r="R54" s="3"/>
      <c r="S54" s="3"/>
      <c r="T54" s="3"/>
      <c r="U54" s="3"/>
      <c r="V54" s="3"/>
      <c r="W54" s="3"/>
      <c r="X54" s="3"/>
      <c r="Y54" s="3"/>
      <c r="Z54" s="3"/>
      <c r="AA54" s="3"/>
      <c r="AB54" s="3"/>
    </row>
    <row r="55" spans="1:28" ht="15.75" customHeight="1">
      <c r="A55" s="20"/>
      <c r="B55" s="20"/>
      <c r="C55" s="927"/>
      <c r="D55" s="28"/>
      <c r="E55" s="39" t="s">
        <v>824</v>
      </c>
      <c r="F55" s="212">
        <f>'6 - Energy'!G46</f>
        <v>0.76116118443001191</v>
      </c>
      <c r="G55" s="39"/>
      <c r="H55" s="222"/>
      <c r="I55" s="3"/>
      <c r="J55" s="3"/>
      <c r="K55" s="3"/>
      <c r="L55" s="3"/>
      <c r="M55" s="3"/>
      <c r="N55" s="3"/>
      <c r="O55" s="3"/>
      <c r="P55" s="3"/>
      <c r="Q55" s="3"/>
      <c r="R55" s="3"/>
      <c r="S55" s="3"/>
      <c r="T55" s="3"/>
      <c r="U55" s="3"/>
      <c r="V55" s="3"/>
      <c r="W55" s="3"/>
      <c r="X55" s="3"/>
      <c r="Y55" s="3"/>
      <c r="Z55" s="3"/>
      <c r="AA55" s="3"/>
      <c r="AB55" s="3"/>
    </row>
    <row r="56" spans="1:28" ht="15.75" customHeight="1">
      <c r="A56" s="20"/>
      <c r="B56" s="20"/>
      <c r="C56" s="92"/>
      <c r="D56" s="28" t="s">
        <v>825</v>
      </c>
      <c r="E56" s="28" t="s">
        <v>826</v>
      </c>
      <c r="F56" s="223">
        <f>'6 - Energy'!F52</f>
        <v>0.7</v>
      </c>
      <c r="G56" s="28"/>
      <c r="H56" s="28" t="s">
        <v>201</v>
      </c>
      <c r="I56" s="3"/>
      <c r="J56" s="3"/>
      <c r="K56" s="3"/>
      <c r="L56" s="3"/>
      <c r="M56" s="3"/>
      <c r="N56" s="3"/>
      <c r="O56" s="3"/>
      <c r="P56" s="3"/>
      <c r="Q56" s="3"/>
      <c r="R56" s="3"/>
      <c r="S56" s="3"/>
      <c r="T56" s="3"/>
      <c r="U56" s="3"/>
      <c r="V56" s="3"/>
      <c r="W56" s="3"/>
      <c r="X56" s="3"/>
      <c r="Y56" s="3"/>
      <c r="Z56" s="3"/>
      <c r="AA56" s="3"/>
      <c r="AB56" s="3"/>
    </row>
    <row r="57" spans="1:28" ht="15.75" customHeight="1">
      <c r="A57" s="20"/>
      <c r="B57" s="20"/>
      <c r="C57" s="28"/>
      <c r="D57" s="28" t="s">
        <v>827</v>
      </c>
      <c r="E57" s="28" t="s">
        <v>828</v>
      </c>
      <c r="F57" s="41">
        <f>'6 - Energy'!F54</f>
        <v>0.30000000000000004</v>
      </c>
      <c r="G57" s="28"/>
      <c r="H57" s="28"/>
      <c r="I57" s="3"/>
      <c r="J57" s="3"/>
      <c r="K57" s="3"/>
      <c r="L57" s="3"/>
      <c r="M57" s="3"/>
      <c r="N57" s="3"/>
      <c r="O57" s="3"/>
      <c r="P57" s="3"/>
      <c r="Q57" s="3"/>
      <c r="R57" s="3"/>
      <c r="S57" s="3"/>
      <c r="T57" s="3"/>
      <c r="U57" s="3"/>
      <c r="V57" s="3"/>
      <c r="W57" s="3"/>
      <c r="X57" s="3"/>
      <c r="Y57" s="3"/>
      <c r="Z57" s="3"/>
      <c r="AA57" s="3"/>
      <c r="AB57" s="3"/>
    </row>
    <row r="58" spans="1:28" ht="15.75" customHeight="1">
      <c r="A58" s="20"/>
      <c r="B58" s="20"/>
      <c r="C58" s="224" t="s">
        <v>466</v>
      </c>
      <c r="D58" s="225" t="s">
        <v>466</v>
      </c>
      <c r="E58" s="26"/>
      <c r="F58" s="26"/>
      <c r="G58" s="26"/>
      <c r="H58" s="26"/>
      <c r="I58" s="3"/>
      <c r="J58" s="3"/>
      <c r="K58" s="3"/>
      <c r="L58" s="3"/>
      <c r="M58" s="3"/>
      <c r="N58" s="3"/>
      <c r="O58" s="3"/>
      <c r="P58" s="3"/>
      <c r="Q58" s="3"/>
      <c r="R58" s="3"/>
      <c r="S58" s="3"/>
      <c r="T58" s="3"/>
      <c r="U58" s="3"/>
      <c r="V58" s="3"/>
      <c r="W58" s="3"/>
      <c r="X58" s="3"/>
      <c r="Y58" s="3"/>
      <c r="Z58" s="3"/>
      <c r="AA58" s="3"/>
      <c r="AB58" s="3"/>
    </row>
    <row r="59" spans="1:28" ht="15.75" customHeight="1">
      <c r="A59" s="20"/>
      <c r="B59" s="20"/>
      <c r="C59" s="924"/>
      <c r="D59" s="28" t="s">
        <v>829</v>
      </c>
      <c r="E59" s="28" t="s">
        <v>830</v>
      </c>
      <c r="F59" s="41">
        <f>'7 - Wellness'!G8</f>
        <v>1</v>
      </c>
      <c r="G59" s="28"/>
      <c r="H59" s="28" t="s">
        <v>831</v>
      </c>
      <c r="I59" s="3"/>
      <c r="J59" s="3"/>
      <c r="K59" s="3"/>
      <c r="L59" s="3"/>
      <c r="M59" s="3"/>
      <c r="N59" s="3"/>
      <c r="O59" s="3"/>
      <c r="P59" s="3"/>
      <c r="Q59" s="3"/>
      <c r="R59" s="3"/>
      <c r="S59" s="3"/>
      <c r="T59" s="3"/>
      <c r="U59" s="3"/>
      <c r="V59" s="3"/>
      <c r="W59" s="3"/>
      <c r="X59" s="3"/>
      <c r="Y59" s="3"/>
      <c r="Z59" s="3"/>
      <c r="AA59" s="3"/>
      <c r="AB59" s="3"/>
    </row>
    <row r="60" spans="1:28" ht="15.75" customHeight="1">
      <c r="A60" s="20"/>
      <c r="B60" s="20"/>
      <c r="C60" s="800"/>
      <c r="D60" s="28" t="s">
        <v>832</v>
      </c>
      <c r="E60" s="28" t="s">
        <v>833</v>
      </c>
      <c r="F60" s="41">
        <f>'7 - Wellness'!G9</f>
        <v>0.6428571428571429</v>
      </c>
      <c r="G60" s="28"/>
      <c r="H60" s="28" t="s">
        <v>834</v>
      </c>
      <c r="I60" s="3"/>
      <c r="J60" s="3"/>
      <c r="K60" s="3"/>
      <c r="L60" s="3"/>
      <c r="M60" s="3"/>
      <c r="N60" s="3"/>
      <c r="O60" s="3"/>
      <c r="P60" s="3"/>
      <c r="Q60" s="3"/>
      <c r="R60" s="3"/>
      <c r="S60" s="3"/>
      <c r="T60" s="3"/>
      <c r="U60" s="3"/>
      <c r="V60" s="3"/>
      <c r="W60" s="3"/>
      <c r="X60" s="3"/>
      <c r="Y60" s="3"/>
      <c r="Z60" s="3"/>
      <c r="AA60" s="3"/>
      <c r="AB60" s="3"/>
    </row>
    <row r="61" spans="1:28" ht="15.75" customHeight="1">
      <c r="A61" s="20"/>
      <c r="B61" s="20"/>
      <c r="C61" s="800"/>
      <c r="D61" s="28" t="s">
        <v>835</v>
      </c>
      <c r="E61" s="28" t="s">
        <v>836</v>
      </c>
      <c r="F61" s="41">
        <f>'7 - Wellness'!G10</f>
        <v>1</v>
      </c>
      <c r="G61" s="28"/>
      <c r="H61" s="28" t="s">
        <v>837</v>
      </c>
      <c r="I61" s="3"/>
      <c r="J61" s="3"/>
      <c r="K61" s="3"/>
      <c r="L61" s="3"/>
      <c r="M61" s="3"/>
      <c r="N61" s="3"/>
      <c r="O61" s="3"/>
      <c r="P61" s="3"/>
      <c r="Q61" s="3"/>
      <c r="R61" s="3"/>
      <c r="S61" s="3"/>
      <c r="T61" s="3"/>
      <c r="U61" s="3"/>
      <c r="V61" s="3"/>
      <c r="W61" s="3"/>
      <c r="X61" s="3"/>
      <c r="Y61" s="3"/>
      <c r="Z61" s="3"/>
      <c r="AA61" s="3"/>
      <c r="AB61" s="3"/>
    </row>
    <row r="62" spans="1:28" ht="15.75" customHeight="1">
      <c r="A62" s="20"/>
      <c r="B62" s="20"/>
      <c r="C62" s="800"/>
      <c r="D62" s="28" t="s">
        <v>838</v>
      </c>
      <c r="E62" s="28" t="s">
        <v>839</v>
      </c>
      <c r="F62" s="179">
        <f>'7 - Wellness'!E18</f>
        <v>16.25</v>
      </c>
      <c r="G62" s="28"/>
      <c r="H62" s="28" t="s">
        <v>533</v>
      </c>
      <c r="I62" s="3"/>
      <c r="J62" s="3"/>
      <c r="K62" s="3"/>
      <c r="L62" s="3"/>
      <c r="M62" s="3"/>
      <c r="N62" s="3"/>
      <c r="O62" s="3"/>
      <c r="P62" s="3"/>
      <c r="Q62" s="3"/>
      <c r="R62" s="3"/>
      <c r="S62" s="3"/>
      <c r="T62" s="3"/>
      <c r="U62" s="3"/>
      <c r="V62" s="3"/>
      <c r="W62" s="3"/>
      <c r="X62" s="3"/>
      <c r="Y62" s="3"/>
      <c r="Z62" s="3"/>
      <c r="AA62" s="3"/>
      <c r="AB62" s="3"/>
    </row>
    <row r="63" spans="1:28" ht="15.75" customHeight="1">
      <c r="A63" s="20"/>
      <c r="B63" s="20"/>
      <c r="C63" s="800"/>
      <c r="D63" s="28" t="s">
        <v>840</v>
      </c>
      <c r="E63" s="28" t="s">
        <v>841</v>
      </c>
      <c r="F63" s="41">
        <f>'7 - Wellness'!E20</f>
        <v>1</v>
      </c>
      <c r="G63" s="28"/>
      <c r="H63" s="28" t="s">
        <v>842</v>
      </c>
      <c r="I63" s="3"/>
      <c r="J63" s="3"/>
      <c r="K63" s="3"/>
      <c r="L63" s="3"/>
      <c r="M63" s="3"/>
      <c r="N63" s="3"/>
      <c r="O63" s="3"/>
      <c r="P63" s="3"/>
      <c r="Q63" s="3"/>
      <c r="R63" s="3"/>
      <c r="S63" s="3"/>
      <c r="T63" s="3"/>
      <c r="U63" s="3"/>
      <c r="V63" s="3"/>
      <c r="W63" s="3"/>
      <c r="X63" s="3"/>
      <c r="Y63" s="3"/>
      <c r="Z63" s="3"/>
      <c r="AA63" s="3"/>
      <c r="AB63" s="3"/>
    </row>
    <row r="64" spans="1:28" ht="15.75" customHeight="1">
      <c r="A64" s="20"/>
      <c r="B64" s="20"/>
      <c r="C64" s="800"/>
      <c r="D64" s="28" t="s">
        <v>843</v>
      </c>
      <c r="E64" s="28" t="s">
        <v>844</v>
      </c>
      <c r="F64" s="28">
        <f>'7 - Wellness'!E27</f>
        <v>800</v>
      </c>
      <c r="G64" s="28"/>
      <c r="H64" s="28" t="s">
        <v>563</v>
      </c>
      <c r="I64" s="3"/>
      <c r="J64" s="3"/>
      <c r="K64" s="3"/>
      <c r="L64" s="3"/>
      <c r="M64" s="3"/>
      <c r="N64" s="3"/>
      <c r="O64" s="3"/>
      <c r="P64" s="3"/>
      <c r="Q64" s="3"/>
      <c r="R64" s="3"/>
      <c r="S64" s="3"/>
      <c r="T64" s="3"/>
      <c r="U64" s="3"/>
      <c r="V64" s="3"/>
      <c r="W64" s="3"/>
      <c r="X64" s="3"/>
      <c r="Y64" s="3"/>
      <c r="Z64" s="3"/>
      <c r="AA64" s="3"/>
      <c r="AB64" s="3"/>
    </row>
    <row r="65" spans="1:28" ht="15.75" customHeight="1">
      <c r="A65" s="20"/>
      <c r="B65" s="20"/>
      <c r="C65" s="800"/>
      <c r="D65" s="28" t="s">
        <v>845</v>
      </c>
      <c r="E65" s="28" t="s">
        <v>846</v>
      </c>
      <c r="F65" s="28">
        <f>'7 - Wellness'!E29</f>
        <v>350</v>
      </c>
      <c r="G65" s="28"/>
      <c r="H65" s="28" t="s">
        <v>583</v>
      </c>
      <c r="I65" s="3"/>
      <c r="J65" s="3"/>
      <c r="K65" s="3"/>
      <c r="L65" s="3"/>
      <c r="M65" s="3"/>
      <c r="N65" s="3"/>
      <c r="O65" s="3"/>
      <c r="P65" s="3"/>
      <c r="Q65" s="3"/>
      <c r="R65" s="3"/>
      <c r="S65" s="3"/>
      <c r="T65" s="3"/>
      <c r="U65" s="3"/>
      <c r="V65" s="3"/>
      <c r="W65" s="3"/>
      <c r="X65" s="3"/>
      <c r="Y65" s="3"/>
      <c r="Z65" s="3"/>
      <c r="AA65" s="3"/>
      <c r="AB65" s="3"/>
    </row>
    <row r="66" spans="1:28" s="593" customFormat="1" ht="15.75" customHeight="1">
      <c r="A66" s="308"/>
      <c r="B66" s="308"/>
      <c r="C66" s="803"/>
      <c r="D66" s="309"/>
      <c r="E66" s="28" t="s">
        <v>602</v>
      </c>
      <c r="F66" s="28">
        <f>'7 - Wellness'!E34</f>
        <v>0</v>
      </c>
      <c r="G66" s="28"/>
      <c r="H66" s="28" t="s">
        <v>603</v>
      </c>
      <c r="I66" s="307"/>
      <c r="J66" s="307"/>
      <c r="K66" s="307"/>
      <c r="L66" s="307"/>
      <c r="M66" s="307"/>
      <c r="N66" s="307"/>
      <c r="O66" s="307"/>
      <c r="P66" s="307"/>
      <c r="Q66" s="307"/>
      <c r="R66" s="307"/>
      <c r="S66" s="307"/>
      <c r="T66" s="307"/>
      <c r="U66" s="307"/>
      <c r="V66" s="307"/>
      <c r="W66" s="307"/>
      <c r="X66" s="307"/>
      <c r="Y66" s="307"/>
      <c r="Z66" s="307"/>
      <c r="AA66" s="307"/>
      <c r="AB66" s="307"/>
    </row>
    <row r="67" spans="1:28" ht="15.75" customHeight="1">
      <c r="A67" s="20"/>
      <c r="B67" s="20"/>
      <c r="C67" s="801"/>
      <c r="D67" s="28" t="s">
        <v>847</v>
      </c>
      <c r="E67" s="28" t="s">
        <v>1103</v>
      </c>
      <c r="F67" s="28">
        <f>'7 - Wellness'!E42</f>
        <v>0</v>
      </c>
      <c r="G67" s="28"/>
      <c r="H67" s="28" t="s">
        <v>1044</v>
      </c>
      <c r="I67" s="3"/>
      <c r="J67" s="3"/>
      <c r="K67" s="3"/>
      <c r="L67" s="3"/>
      <c r="M67" s="3"/>
      <c r="N67" s="3"/>
      <c r="O67" s="3"/>
      <c r="P67" s="3"/>
      <c r="Q67" s="3"/>
      <c r="R67" s="3"/>
      <c r="S67" s="3"/>
      <c r="T67" s="3"/>
      <c r="U67" s="3"/>
      <c r="V67" s="3"/>
      <c r="W67" s="3"/>
      <c r="X67" s="3"/>
      <c r="Y67" s="3"/>
      <c r="Z67" s="3"/>
      <c r="AA67" s="3"/>
      <c r="AB67" s="3"/>
    </row>
    <row r="68" spans="1:28" ht="15.75" customHeight="1">
      <c r="A68" s="20"/>
      <c r="B68" s="20"/>
      <c r="C68" s="224" t="s">
        <v>848</v>
      </c>
      <c r="D68" s="26"/>
      <c r="E68" s="26"/>
      <c r="F68" s="26"/>
      <c r="G68" s="26"/>
      <c r="H68" s="26"/>
      <c r="I68" s="3"/>
      <c r="J68" s="3"/>
      <c r="K68" s="3"/>
      <c r="L68" s="3"/>
      <c r="M68" s="3"/>
      <c r="N68" s="3"/>
      <c r="O68" s="3"/>
      <c r="P68" s="3"/>
      <c r="Q68" s="3"/>
      <c r="R68" s="3"/>
      <c r="S68" s="3"/>
      <c r="T68" s="3"/>
      <c r="U68" s="3"/>
      <c r="V68" s="3"/>
      <c r="W68" s="3"/>
      <c r="X68" s="3"/>
      <c r="Y68" s="3"/>
      <c r="Z68" s="3"/>
      <c r="AA68" s="3"/>
      <c r="AB68" s="3"/>
    </row>
    <row r="69" spans="1:28" ht="15.75" customHeight="1">
      <c r="A69" s="20"/>
      <c r="B69" s="20"/>
      <c r="C69" s="924"/>
      <c r="D69" s="28" t="s">
        <v>849</v>
      </c>
      <c r="E69" s="28" t="s">
        <v>850</v>
      </c>
      <c r="F69" s="164">
        <f>'8 - Resources'!E9</f>
        <v>35.543873469387748</v>
      </c>
      <c r="G69" s="28"/>
      <c r="H69" s="28" t="s">
        <v>631</v>
      </c>
      <c r="I69" s="3"/>
      <c r="J69" s="3"/>
      <c r="K69" s="3"/>
      <c r="L69" s="3"/>
      <c r="M69" s="3"/>
      <c r="N69" s="3"/>
      <c r="O69" s="3"/>
      <c r="P69" s="3"/>
      <c r="Q69" s="3"/>
      <c r="R69" s="3"/>
      <c r="S69" s="3"/>
      <c r="T69" s="3"/>
      <c r="U69" s="3"/>
      <c r="V69" s="3"/>
      <c r="W69" s="3"/>
      <c r="X69" s="3"/>
      <c r="Y69" s="3"/>
      <c r="Z69" s="3"/>
      <c r="AA69" s="3"/>
      <c r="AB69" s="3"/>
    </row>
    <row r="70" spans="1:28" ht="15.75" customHeight="1">
      <c r="A70" s="20"/>
      <c r="B70" s="20"/>
      <c r="C70" s="800"/>
      <c r="D70" s="28" t="s">
        <v>851</v>
      </c>
      <c r="E70" s="28" t="s">
        <v>852</v>
      </c>
      <c r="F70" s="153">
        <f>'8 - Resources'!E8</f>
        <v>870824.89999999991</v>
      </c>
      <c r="G70" s="28"/>
      <c r="H70" s="28" t="s">
        <v>853</v>
      </c>
      <c r="I70" s="3"/>
      <c r="J70" s="3"/>
      <c r="K70" s="3"/>
      <c r="L70" s="3"/>
      <c r="M70" s="3"/>
      <c r="N70" s="3"/>
      <c r="O70" s="3"/>
      <c r="P70" s="3"/>
      <c r="Q70" s="3"/>
      <c r="R70" s="3"/>
      <c r="S70" s="3"/>
      <c r="T70" s="3"/>
      <c r="U70" s="3"/>
      <c r="V70" s="3"/>
      <c r="W70" s="3"/>
      <c r="X70" s="3"/>
      <c r="Y70" s="3"/>
      <c r="Z70" s="3"/>
      <c r="AA70" s="3"/>
      <c r="AB70" s="3"/>
    </row>
    <row r="71" spans="1:28" ht="15.75" customHeight="1">
      <c r="A71" s="20"/>
      <c r="B71" s="20"/>
      <c r="C71" s="800"/>
      <c r="D71" s="28"/>
      <c r="E71" s="28" t="s">
        <v>854</v>
      </c>
      <c r="F71" s="41">
        <f>'8 - Resources'!E11</f>
        <v>0.46949442583003365</v>
      </c>
      <c r="G71" s="28"/>
      <c r="H71" s="28"/>
      <c r="I71" s="3"/>
      <c r="J71" s="3"/>
      <c r="K71" s="3"/>
      <c r="L71" s="3"/>
      <c r="M71" s="3"/>
      <c r="N71" s="3"/>
      <c r="O71" s="3"/>
      <c r="P71" s="3"/>
      <c r="Q71" s="3"/>
      <c r="R71" s="3"/>
      <c r="S71" s="3"/>
      <c r="T71" s="3"/>
      <c r="U71" s="3"/>
      <c r="V71" s="3"/>
      <c r="W71" s="3"/>
      <c r="X71" s="3"/>
      <c r="Y71" s="3"/>
      <c r="Z71" s="3"/>
      <c r="AA71" s="3"/>
      <c r="AB71" s="3"/>
    </row>
    <row r="72" spans="1:28" ht="15.75" customHeight="1">
      <c r="A72" s="20"/>
      <c r="B72" s="20"/>
      <c r="C72" s="800"/>
      <c r="D72" s="28" t="s">
        <v>855</v>
      </c>
      <c r="E72" s="28" t="s">
        <v>856</v>
      </c>
      <c r="F72" s="27" t="str">
        <f>'8 - Resources'!E16</f>
        <v>Yes</v>
      </c>
      <c r="G72" s="28"/>
      <c r="H72" s="28"/>
      <c r="I72" s="3"/>
      <c r="J72" s="3"/>
      <c r="K72" s="3"/>
      <c r="L72" s="3"/>
      <c r="M72" s="3"/>
      <c r="N72" s="3"/>
      <c r="O72" s="3"/>
      <c r="P72" s="3"/>
      <c r="Q72" s="3"/>
      <c r="R72" s="3"/>
      <c r="S72" s="3"/>
      <c r="T72" s="3"/>
      <c r="U72" s="3"/>
      <c r="V72" s="3"/>
      <c r="W72" s="3"/>
      <c r="X72" s="3"/>
      <c r="Y72" s="3"/>
      <c r="Z72" s="3"/>
      <c r="AA72" s="3"/>
      <c r="AB72" s="3"/>
    </row>
    <row r="73" spans="1:28" ht="15.75" customHeight="1">
      <c r="A73" s="20"/>
      <c r="B73" s="20"/>
      <c r="C73" s="800"/>
      <c r="D73" s="28" t="s">
        <v>857</v>
      </c>
      <c r="E73" s="28" t="s">
        <v>858</v>
      </c>
      <c r="F73" s="28">
        <f>'8 - Resources'!E25</f>
        <v>0</v>
      </c>
      <c r="G73" s="28"/>
      <c r="H73" s="28" t="s">
        <v>603</v>
      </c>
      <c r="I73" s="3"/>
      <c r="J73" s="3"/>
      <c r="K73" s="3"/>
      <c r="L73" s="3"/>
      <c r="M73" s="3"/>
      <c r="N73" s="3"/>
      <c r="O73" s="3"/>
      <c r="P73" s="3"/>
      <c r="Q73" s="3"/>
      <c r="R73" s="3"/>
      <c r="S73" s="3"/>
      <c r="T73" s="3"/>
      <c r="U73" s="3"/>
      <c r="V73" s="3"/>
      <c r="W73" s="3"/>
      <c r="X73" s="3"/>
      <c r="Y73" s="3"/>
      <c r="Z73" s="3"/>
      <c r="AA73" s="3"/>
      <c r="AB73" s="3"/>
    </row>
    <row r="74" spans="1:28" ht="15.75" customHeight="1">
      <c r="A74" s="20"/>
      <c r="B74" s="20"/>
      <c r="C74" s="800"/>
      <c r="D74" s="28" t="s">
        <v>859</v>
      </c>
      <c r="E74" s="28" t="s">
        <v>860</v>
      </c>
      <c r="F74" s="41">
        <f>'8 - Resources'!E39</f>
        <v>0.9</v>
      </c>
      <c r="G74" s="28"/>
      <c r="H74" s="28"/>
      <c r="I74" s="3"/>
      <c r="J74" s="3"/>
      <c r="K74" s="3"/>
      <c r="L74" s="3"/>
      <c r="M74" s="3"/>
      <c r="N74" s="3"/>
      <c r="O74" s="3"/>
      <c r="P74" s="3"/>
      <c r="Q74" s="3"/>
      <c r="R74" s="3"/>
      <c r="S74" s="3"/>
      <c r="T74" s="3"/>
      <c r="U74" s="3"/>
      <c r="V74" s="3"/>
      <c r="W74" s="3"/>
      <c r="X74" s="3"/>
      <c r="Y74" s="3"/>
      <c r="Z74" s="3"/>
      <c r="AA74" s="3"/>
      <c r="AB74" s="3"/>
    </row>
    <row r="75" spans="1:28" ht="15.75" customHeight="1">
      <c r="A75" s="20"/>
      <c r="B75" s="20"/>
      <c r="C75" s="800"/>
      <c r="D75" s="28" t="s">
        <v>861</v>
      </c>
      <c r="E75" s="28" t="s">
        <v>862</v>
      </c>
      <c r="F75" s="41">
        <f>'8 - Resources'!F52</f>
        <v>0.88888888888888884</v>
      </c>
      <c r="G75" s="28"/>
      <c r="H75" s="28"/>
      <c r="I75" s="3"/>
      <c r="J75" s="3"/>
      <c r="K75" s="3"/>
      <c r="L75" s="3"/>
      <c r="M75" s="3"/>
      <c r="N75" s="3"/>
      <c r="O75" s="3"/>
      <c r="P75" s="3"/>
      <c r="Q75" s="3"/>
      <c r="R75" s="3"/>
      <c r="S75" s="3"/>
      <c r="T75" s="3"/>
      <c r="U75" s="3"/>
      <c r="V75" s="3"/>
      <c r="W75" s="3"/>
      <c r="X75" s="3"/>
      <c r="Y75" s="3"/>
      <c r="Z75" s="3"/>
      <c r="AA75" s="3"/>
      <c r="AB75" s="3"/>
    </row>
    <row r="76" spans="1:28" ht="15.75" customHeight="1">
      <c r="A76" s="20"/>
      <c r="B76" s="20"/>
      <c r="C76" s="800"/>
      <c r="D76" s="28" t="s">
        <v>863</v>
      </c>
      <c r="E76" s="28" t="s">
        <v>864</v>
      </c>
      <c r="F76" s="41">
        <f>'8 - Resources'!F53</f>
        <v>0.5</v>
      </c>
      <c r="G76" s="28"/>
      <c r="H76" s="28"/>
      <c r="I76" s="3"/>
      <c r="J76" s="3"/>
      <c r="K76" s="3"/>
      <c r="L76" s="3"/>
      <c r="M76" s="3"/>
      <c r="N76" s="3"/>
      <c r="O76" s="3"/>
      <c r="P76" s="3"/>
      <c r="Q76" s="3"/>
      <c r="R76" s="3"/>
      <c r="S76" s="3"/>
      <c r="T76" s="3"/>
      <c r="U76" s="3"/>
      <c r="V76" s="3"/>
      <c r="W76" s="3"/>
      <c r="X76" s="3"/>
      <c r="Y76" s="3"/>
      <c r="Z76" s="3"/>
      <c r="AA76" s="3"/>
      <c r="AB76" s="3"/>
    </row>
    <row r="77" spans="1:28" ht="15.75" customHeight="1">
      <c r="A77" s="20"/>
      <c r="B77" s="20"/>
      <c r="C77" s="801"/>
      <c r="D77" s="28" t="s">
        <v>865</v>
      </c>
      <c r="E77" s="28" t="s">
        <v>1102</v>
      </c>
      <c r="F77" s="41">
        <f>'8 - Resources'!F54</f>
        <v>0.66666666666666663</v>
      </c>
      <c r="G77" s="28"/>
      <c r="H77" s="28"/>
      <c r="I77" s="3"/>
      <c r="J77" s="3"/>
      <c r="K77" s="3"/>
      <c r="L77" s="3"/>
      <c r="M77" s="3"/>
      <c r="N77" s="3"/>
      <c r="O77" s="3"/>
      <c r="P77" s="3"/>
      <c r="Q77" s="3"/>
      <c r="R77" s="3"/>
      <c r="S77" s="3"/>
      <c r="T77" s="3"/>
      <c r="U77" s="3"/>
      <c r="V77" s="3"/>
      <c r="W77" s="3"/>
      <c r="X77" s="3"/>
      <c r="Y77" s="3"/>
      <c r="Z77" s="3"/>
      <c r="AA77" s="3"/>
      <c r="AB77" s="3"/>
    </row>
    <row r="78" spans="1:28" ht="15.75" customHeight="1">
      <c r="A78" s="20"/>
      <c r="B78" s="20"/>
      <c r="C78" s="26" t="s">
        <v>866</v>
      </c>
      <c r="D78" s="26" t="s">
        <v>866</v>
      </c>
      <c r="E78" s="26"/>
      <c r="F78" s="26"/>
      <c r="G78" s="26"/>
      <c r="H78" s="26"/>
      <c r="I78" s="3"/>
      <c r="J78" s="3"/>
      <c r="K78" s="3"/>
      <c r="L78" s="3"/>
      <c r="M78" s="3"/>
      <c r="N78" s="3"/>
      <c r="O78" s="3"/>
      <c r="P78" s="3"/>
      <c r="Q78" s="3"/>
      <c r="R78" s="3"/>
      <c r="S78" s="3"/>
      <c r="T78" s="3"/>
      <c r="U78" s="3"/>
      <c r="V78" s="3"/>
      <c r="W78" s="3"/>
      <c r="X78" s="3"/>
      <c r="Y78" s="3"/>
      <c r="Z78" s="3"/>
      <c r="AA78" s="3"/>
      <c r="AB78" s="3"/>
    </row>
    <row r="79" spans="1:28" ht="15.75" customHeight="1">
      <c r="A79" s="20"/>
      <c r="B79" s="20"/>
      <c r="C79" s="924"/>
      <c r="D79" s="28" t="s">
        <v>867</v>
      </c>
      <c r="E79" s="28" t="s">
        <v>868</v>
      </c>
      <c r="F79" s="41">
        <f>'9 - Change'!E7</f>
        <v>1</v>
      </c>
      <c r="G79" s="28"/>
      <c r="H79" s="28"/>
      <c r="I79" s="3"/>
      <c r="J79" s="3"/>
      <c r="K79" s="3"/>
      <c r="L79" s="3"/>
      <c r="M79" s="3"/>
      <c r="N79" s="3"/>
      <c r="O79" s="3"/>
      <c r="P79" s="3"/>
      <c r="Q79" s="3"/>
      <c r="R79" s="3"/>
      <c r="S79" s="3"/>
      <c r="T79" s="3"/>
      <c r="U79" s="3"/>
      <c r="V79" s="3"/>
      <c r="W79" s="3"/>
      <c r="X79" s="3"/>
      <c r="Y79" s="3"/>
      <c r="Z79" s="3"/>
      <c r="AA79" s="3"/>
      <c r="AB79" s="3"/>
    </row>
    <row r="80" spans="1:28" ht="15.75" customHeight="1">
      <c r="A80" s="20"/>
      <c r="B80" s="20"/>
      <c r="C80" s="800"/>
      <c r="D80" s="28" t="s">
        <v>869</v>
      </c>
      <c r="E80" s="28" t="s">
        <v>870</v>
      </c>
      <c r="F80" s="28">
        <f>'9 - Change'!E13</f>
        <v>2</v>
      </c>
      <c r="G80" s="28"/>
      <c r="H80" s="28" t="s">
        <v>871</v>
      </c>
      <c r="I80" s="3"/>
      <c r="J80" s="3"/>
      <c r="K80" s="3"/>
      <c r="L80" s="3"/>
      <c r="M80" s="3"/>
      <c r="N80" s="3"/>
      <c r="O80" s="3"/>
      <c r="P80" s="3"/>
      <c r="Q80" s="3"/>
      <c r="R80" s="3"/>
      <c r="S80" s="3"/>
      <c r="T80" s="3"/>
      <c r="U80" s="3"/>
      <c r="V80" s="3"/>
      <c r="W80" s="3"/>
      <c r="X80" s="3"/>
      <c r="Y80" s="3"/>
      <c r="Z80" s="3"/>
      <c r="AA80" s="3"/>
      <c r="AB80" s="3"/>
    </row>
    <row r="81" spans="1:28" ht="15.75" customHeight="1">
      <c r="A81" s="20"/>
      <c r="B81" s="20"/>
      <c r="C81" s="800"/>
      <c r="D81" s="28" t="s">
        <v>872</v>
      </c>
      <c r="E81" s="28" t="s">
        <v>873</v>
      </c>
      <c r="F81" s="41">
        <f>'6 - Energy'!G40</f>
        <v>0.37090909090909097</v>
      </c>
      <c r="G81" s="28"/>
      <c r="H81" s="28"/>
      <c r="I81" s="3"/>
      <c r="J81" s="3"/>
      <c r="K81" s="3"/>
      <c r="L81" s="3"/>
      <c r="M81" s="3"/>
      <c r="N81" s="3"/>
      <c r="O81" s="3"/>
      <c r="P81" s="3"/>
      <c r="Q81" s="3"/>
      <c r="R81" s="3"/>
      <c r="S81" s="3"/>
      <c r="T81" s="3"/>
      <c r="U81" s="3"/>
      <c r="V81" s="3"/>
      <c r="W81" s="3"/>
      <c r="X81" s="3"/>
      <c r="Y81" s="3"/>
      <c r="Z81" s="3"/>
      <c r="AA81" s="3"/>
      <c r="AB81" s="3"/>
    </row>
    <row r="82" spans="1:28" ht="15.75" customHeight="1">
      <c r="A82" s="20"/>
      <c r="B82" s="20"/>
      <c r="C82" s="800"/>
      <c r="D82" s="28" t="s">
        <v>874</v>
      </c>
      <c r="E82" s="28" t="s">
        <v>875</v>
      </c>
      <c r="F82" s="153">
        <f>F79*F70</f>
        <v>870824.89999999991</v>
      </c>
      <c r="G82" s="28"/>
      <c r="H82" s="28" t="s">
        <v>876</v>
      </c>
      <c r="I82" s="3"/>
      <c r="J82" s="3"/>
      <c r="K82" s="3"/>
      <c r="L82" s="3"/>
      <c r="M82" s="3"/>
      <c r="N82" s="3"/>
      <c r="O82" s="3"/>
      <c r="P82" s="3"/>
      <c r="Q82" s="3"/>
      <c r="R82" s="3"/>
      <c r="S82" s="3"/>
      <c r="T82" s="3"/>
      <c r="U82" s="3"/>
      <c r="V82" s="3"/>
      <c r="W82" s="3"/>
      <c r="X82" s="3"/>
      <c r="Y82" s="3"/>
      <c r="Z82" s="3"/>
      <c r="AA82" s="3"/>
      <c r="AB82" s="3"/>
    </row>
    <row r="83" spans="1:28" ht="15.75" customHeight="1">
      <c r="A83" s="20"/>
      <c r="B83" s="20"/>
      <c r="C83" s="801"/>
      <c r="D83" s="28" t="s">
        <v>877</v>
      </c>
      <c r="E83" s="28" t="s">
        <v>878</v>
      </c>
      <c r="F83" s="28">
        <f>'9 - Change'!E18</f>
        <v>200</v>
      </c>
      <c r="G83" s="28"/>
      <c r="H83" s="28" t="s">
        <v>696</v>
      </c>
      <c r="I83" s="3"/>
      <c r="J83" s="3"/>
      <c r="K83" s="3"/>
      <c r="L83" s="3"/>
      <c r="M83" s="3"/>
      <c r="N83" s="3"/>
      <c r="O83" s="3"/>
      <c r="P83" s="3"/>
      <c r="Q83" s="3"/>
      <c r="R83" s="3"/>
      <c r="S83" s="3"/>
      <c r="T83" s="3"/>
      <c r="U83" s="3"/>
      <c r="V83" s="3"/>
      <c r="W83" s="3"/>
      <c r="X83" s="3"/>
      <c r="Y83" s="3"/>
      <c r="Z83" s="3"/>
      <c r="AA83" s="3"/>
      <c r="AB83" s="3"/>
    </row>
    <row r="84" spans="1:28" ht="15.75" customHeight="1">
      <c r="A84" s="20"/>
      <c r="B84" s="20"/>
      <c r="C84" s="26" t="s">
        <v>879</v>
      </c>
      <c r="D84" s="26" t="s">
        <v>879</v>
      </c>
      <c r="E84" s="26"/>
      <c r="F84" s="26"/>
      <c r="G84" s="26"/>
      <c r="H84" s="26"/>
      <c r="I84" s="3"/>
      <c r="J84" s="3"/>
      <c r="K84" s="3"/>
      <c r="L84" s="3"/>
      <c r="M84" s="3"/>
      <c r="N84" s="3"/>
      <c r="O84" s="3"/>
      <c r="P84" s="3"/>
      <c r="Q84" s="3"/>
      <c r="R84" s="3"/>
      <c r="S84" s="3"/>
      <c r="T84" s="3"/>
      <c r="U84" s="3"/>
      <c r="V84" s="3"/>
      <c r="W84" s="3"/>
      <c r="X84" s="3"/>
      <c r="Y84" s="3"/>
      <c r="Z84" s="3"/>
      <c r="AA84" s="3"/>
      <c r="AB84" s="3"/>
    </row>
    <row r="85" spans="1:28" ht="15.75" customHeight="1">
      <c r="A85" s="20"/>
      <c r="B85" s="20"/>
      <c r="C85" s="924"/>
      <c r="D85" s="28" t="s">
        <v>880</v>
      </c>
      <c r="E85" s="28" t="s">
        <v>881</v>
      </c>
      <c r="F85" s="41">
        <f>'10 - Discovery'!E13</f>
        <v>0.9</v>
      </c>
      <c r="G85" s="28"/>
      <c r="H85" s="28"/>
      <c r="I85" s="3"/>
      <c r="J85" s="3"/>
      <c r="K85" s="3"/>
      <c r="L85" s="3"/>
      <c r="M85" s="3"/>
      <c r="N85" s="3"/>
      <c r="O85" s="3"/>
      <c r="P85" s="3"/>
      <c r="Q85" s="3"/>
      <c r="R85" s="3"/>
      <c r="S85" s="3"/>
      <c r="T85" s="3"/>
      <c r="U85" s="3"/>
      <c r="V85" s="3"/>
      <c r="W85" s="3"/>
      <c r="X85" s="3"/>
      <c r="Y85" s="3"/>
      <c r="Z85" s="3"/>
      <c r="AA85" s="3"/>
      <c r="AB85" s="3"/>
    </row>
    <row r="86" spans="1:28" ht="15.75" customHeight="1">
      <c r="A86" s="20"/>
      <c r="B86" s="20"/>
      <c r="C86" s="800"/>
      <c r="D86" s="28" t="s">
        <v>880</v>
      </c>
      <c r="E86" s="28" t="s">
        <v>882</v>
      </c>
      <c r="F86" s="41">
        <f>'10 - Discovery'!E24</f>
        <v>0.75</v>
      </c>
      <c r="G86" s="28"/>
      <c r="H86" s="28"/>
      <c r="I86" s="3"/>
      <c r="J86" s="3"/>
      <c r="K86" s="3"/>
      <c r="L86" s="3"/>
      <c r="M86" s="3"/>
      <c r="N86" s="3"/>
      <c r="O86" s="3"/>
      <c r="P86" s="3"/>
      <c r="Q86" s="3"/>
      <c r="R86" s="3"/>
      <c r="S86" s="3"/>
      <c r="T86" s="3"/>
      <c r="U86" s="3"/>
      <c r="V86" s="3"/>
      <c r="W86" s="3"/>
      <c r="X86" s="3"/>
      <c r="Y86" s="3"/>
      <c r="Z86" s="3"/>
      <c r="AA86" s="3"/>
      <c r="AB86" s="3"/>
    </row>
    <row r="87" spans="1:28" ht="15.75" customHeight="1">
      <c r="A87" s="20"/>
      <c r="B87" s="20"/>
      <c r="C87" s="801"/>
      <c r="D87" s="28" t="s">
        <v>880</v>
      </c>
      <c r="E87" s="28" t="s">
        <v>883</v>
      </c>
      <c r="F87" s="28">
        <f>'10 - Discovery'!E30</f>
        <v>5</v>
      </c>
      <c r="G87" s="28"/>
      <c r="H87" s="28" t="s">
        <v>884</v>
      </c>
      <c r="I87" s="3"/>
      <c r="J87" s="3"/>
      <c r="K87" s="3"/>
      <c r="L87" s="3"/>
      <c r="M87" s="3"/>
      <c r="N87" s="3"/>
      <c r="O87" s="3"/>
      <c r="P87" s="3"/>
      <c r="Q87" s="3"/>
      <c r="R87" s="3"/>
      <c r="S87" s="3"/>
      <c r="T87" s="3"/>
      <c r="U87" s="3"/>
      <c r="V87" s="3"/>
      <c r="W87" s="3"/>
      <c r="X87" s="3"/>
      <c r="Y87" s="3"/>
      <c r="Z87" s="3"/>
      <c r="AA87" s="3"/>
      <c r="AB87" s="3"/>
    </row>
    <row r="88" spans="1:28"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row>
    <row r="89" spans="1:28"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row>
    <row r="90" spans="1:28"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row>
    <row r="91" spans="1:28"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row>
    <row r="92" spans="1:28"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row>
    <row r="93" spans="1:28"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row>
    <row r="94" spans="1:28"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row>
    <row r="95" spans="1:28"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row>
    <row r="96" spans="1:28"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row>
    <row r="97" spans="1:28"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row>
    <row r="98" spans="1:28"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row>
    <row r="99" spans="1:28"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row>
    <row r="100" spans="1:28"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row>
    <row r="101" spans="1:28"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spans="1:28"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row>
    <row r="103" spans="1:28"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row>
    <row r="104" spans="1:28"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row>
    <row r="105" spans="1:28"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row>
    <row r="106" spans="1:28"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row>
    <row r="107" spans="1:28"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row>
    <row r="108" spans="1:28"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row>
    <row r="109" spans="1:28"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row>
    <row r="110" spans="1:28"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row>
    <row r="111" spans="1:28"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row>
    <row r="112" spans="1:28"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row>
    <row r="113" spans="1:28"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row>
    <row r="114" spans="1:28"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row>
    <row r="115" spans="1:28"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row>
    <row r="116" spans="1:28"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row>
    <row r="117" spans="1:28"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row>
    <row r="118" spans="1:28"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row>
    <row r="119" spans="1:28"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row>
    <row r="120" spans="1:28"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row>
    <row r="121" spans="1:28"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row>
    <row r="122" spans="1:28"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row>
    <row r="123" spans="1:28"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row>
    <row r="124" spans="1:28"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row>
    <row r="125" spans="1:28"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row>
    <row r="126" spans="1:28"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row>
    <row r="127" spans="1:28"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row>
    <row r="128" spans="1:28"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row>
    <row r="129" spans="1:28"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row>
    <row r="130" spans="1:28"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row>
    <row r="131" spans="1:28"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row>
    <row r="132" spans="1:28"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row>
    <row r="133" spans="1:28"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row>
    <row r="134" spans="1:28"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row>
    <row r="135" spans="1:28"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row>
    <row r="136" spans="1:28"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row>
    <row r="137" spans="1:28"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row>
    <row r="138" spans="1:28"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row>
    <row r="139" spans="1:28"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row>
    <row r="140" spans="1:28"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row>
    <row r="141" spans="1:28"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row>
    <row r="142" spans="1:28"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row>
    <row r="143" spans="1:28"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row>
    <row r="144" spans="1:28"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row>
    <row r="145" spans="1:28"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row>
    <row r="146" spans="1:28"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row>
    <row r="147" spans="1:28"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row>
    <row r="148" spans="1:28"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row>
    <row r="149" spans="1:28"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row>
    <row r="150" spans="1:28"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row>
    <row r="151" spans="1:28"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row>
    <row r="152" spans="1:28"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row>
    <row r="153" spans="1:28"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row>
    <row r="154" spans="1:28"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row>
    <row r="155" spans="1:28"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row>
    <row r="156" spans="1:28"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row>
    <row r="157" spans="1:28"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row>
    <row r="158" spans="1:28"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row>
    <row r="159" spans="1:28"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row>
    <row r="160" spans="1:28"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row>
    <row r="161" spans="1:28"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row>
    <row r="162" spans="1:28"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row>
    <row r="163" spans="1:28"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row>
    <row r="164" spans="1:28"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row>
    <row r="165" spans="1:28"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row>
    <row r="166" spans="1:28"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row>
    <row r="167" spans="1:28"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row>
    <row r="168" spans="1:28"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row>
    <row r="169" spans="1:28"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row>
    <row r="170" spans="1:28"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row>
    <row r="171" spans="1:28"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row>
    <row r="172" spans="1:28"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row>
    <row r="173" spans="1:28"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row>
    <row r="174" spans="1:28"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row>
    <row r="175" spans="1:28"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row>
    <row r="176" spans="1:28"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row>
    <row r="177" spans="1:28"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row>
    <row r="178" spans="1:28"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row>
    <row r="179" spans="1:28"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row>
    <row r="180" spans="1:28"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row>
    <row r="181" spans="1:28"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row>
    <row r="182" spans="1:28"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row>
    <row r="183" spans="1:28"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row>
    <row r="184" spans="1:28"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row>
    <row r="185" spans="1:28"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row>
    <row r="186" spans="1:28"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row>
    <row r="187" spans="1:28"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row>
    <row r="188" spans="1:28"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row>
    <row r="189" spans="1:28"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row>
    <row r="190" spans="1:28"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row>
    <row r="191" spans="1:28"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row>
    <row r="192" spans="1:28"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row>
    <row r="193" spans="1:28"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row>
    <row r="194" spans="1:28"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row>
    <row r="195" spans="1:28"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row>
    <row r="196" spans="1:28"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row>
    <row r="197" spans="1:28"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row>
    <row r="198" spans="1:28"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row>
    <row r="199" spans="1:28"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row>
    <row r="200" spans="1:28"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row>
    <row r="201" spans="1:28"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row>
    <row r="202" spans="1:28"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row>
    <row r="203" spans="1:28"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row>
    <row r="204" spans="1:28"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row>
    <row r="205" spans="1:28"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row>
    <row r="206" spans="1:28"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row>
    <row r="207" spans="1:28"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row>
    <row r="208" spans="1:28"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row>
    <row r="209" spans="1:28"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row>
    <row r="210" spans="1:28"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row>
    <row r="211" spans="1:28"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row>
    <row r="212" spans="1:28"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row>
    <row r="213" spans="1:28"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row>
    <row r="214" spans="1:28"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row>
    <row r="215" spans="1:28"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row>
    <row r="216" spans="1:28"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row>
    <row r="217" spans="1:28"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row>
    <row r="218" spans="1:28"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row>
    <row r="219" spans="1:28"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row>
    <row r="220" spans="1:28"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row>
    <row r="221" spans="1:28"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row>
    <row r="222" spans="1:28"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row>
    <row r="223" spans="1:28"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row>
    <row r="224" spans="1:28"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row>
    <row r="225" spans="1:28"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row>
    <row r="226" spans="1:28"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row>
    <row r="227" spans="1:28"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row>
    <row r="228" spans="1:28"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row>
    <row r="229" spans="1:28"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row>
    <row r="230" spans="1:28"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row>
    <row r="231" spans="1:28"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row>
    <row r="232" spans="1:28"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row>
    <row r="233" spans="1:28"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row>
    <row r="234" spans="1:28"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row>
    <row r="235" spans="1:28"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row>
    <row r="236" spans="1:28"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row>
    <row r="237" spans="1:28"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row>
    <row r="238" spans="1:28"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row>
    <row r="239" spans="1:28"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row>
    <row r="240" spans="1:28"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row>
    <row r="241" spans="1:28"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row>
    <row r="242" spans="1:28"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row>
    <row r="243" spans="1:28"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row>
    <row r="244" spans="1:28"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row>
    <row r="245" spans="1:28"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row>
    <row r="246" spans="1:28"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row>
    <row r="247" spans="1:28"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row>
    <row r="248" spans="1:28"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row>
    <row r="249" spans="1:28"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row>
    <row r="250" spans="1:28"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row>
    <row r="251" spans="1:28"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row>
    <row r="252" spans="1:28"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row>
    <row r="253" spans="1:28"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row>
    <row r="254" spans="1:28"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row>
    <row r="255" spans="1:28"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row>
    <row r="256" spans="1:28"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row>
    <row r="257" spans="1:28"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row>
    <row r="258" spans="1:28"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row>
    <row r="259" spans="1:28"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row>
    <row r="260" spans="1:28"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row>
    <row r="261" spans="1:28"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row>
    <row r="262" spans="1:28"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row>
    <row r="263" spans="1:28"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row>
    <row r="264" spans="1:28"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row>
    <row r="265" spans="1:28"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row>
    <row r="266" spans="1:28"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row>
    <row r="267" spans="1:28"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row>
    <row r="268" spans="1:28"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row>
    <row r="269" spans="1:28"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row>
    <row r="270" spans="1:28"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row>
    <row r="271" spans="1:28"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row>
    <row r="272" spans="1:28"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row>
    <row r="273" spans="1:28"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row>
    <row r="274" spans="1:28"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row>
    <row r="275" spans="1:28"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row>
    <row r="276" spans="1:28"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row>
    <row r="277" spans="1:28"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row>
    <row r="278" spans="1:28"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row>
    <row r="279" spans="1:28"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row>
    <row r="280" spans="1:28"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row>
    <row r="281" spans="1:28"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row>
    <row r="282" spans="1:28"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row>
    <row r="283" spans="1:28"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row>
    <row r="284" spans="1:28"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row>
    <row r="285" spans="1:28"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row>
    <row r="286" spans="1:28"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row>
    <row r="287" spans="1:28"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row>
    <row r="288" spans="1:2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sheetProtection algorithmName="SHA-512" hashValue="zPR50nMgmJjcrv2S/yoJnni/O9G0ae6Mlfzy/DmAAYEm+I4i0yNCgRRNp+I7M5n2gN+5ptMqJFe6kjELPkgW6A==" saltValue="SpsHY6V1b85IaVy3EqKbFQ==" spinCount="100000" sheet="1" objects="1" scenarios="1"/>
  <mergeCells count="13">
    <mergeCell ref="C22:C27"/>
    <mergeCell ref="C16:C20"/>
    <mergeCell ref="C38:C41"/>
    <mergeCell ref="A3:A6"/>
    <mergeCell ref="C6:C14"/>
    <mergeCell ref="C34:C36"/>
    <mergeCell ref="C28:C33"/>
    <mergeCell ref="C79:C83"/>
    <mergeCell ref="C85:C87"/>
    <mergeCell ref="C69:C77"/>
    <mergeCell ref="C44:C49"/>
    <mergeCell ref="C59:C67"/>
    <mergeCell ref="C50:C55"/>
  </mergeCells>
  <pageMargins left="0.7" right="0.7" top="0.75" bottom="0.75" header="0" footer="0"/>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AK1001"/>
  <sheetViews>
    <sheetView zoomScaleNormal="100" workbookViewId="0">
      <pane ySplit="1" topLeftCell="A2" activePane="bottomLeft" state="frozen"/>
      <selection pane="bottomLeft" activeCell="F40" sqref="F40:G40"/>
    </sheetView>
  </sheetViews>
  <sheetFormatPr defaultColWidth="14.42578125" defaultRowHeight="15" customHeight="1"/>
  <cols>
    <col min="1" max="1" width="4.85546875" customWidth="1"/>
    <col min="2" max="2" width="41.42578125" customWidth="1"/>
    <col min="3" max="3" width="2.7109375" style="356" customWidth="1"/>
    <col min="4" max="4" width="11.5703125" customWidth="1"/>
    <col min="5" max="5" width="8.140625" hidden="1" customWidth="1"/>
    <col min="6" max="6" width="17.42578125" customWidth="1"/>
    <col min="7" max="7" width="16.5703125" customWidth="1"/>
    <col min="8" max="8" width="8.7109375" hidden="1" customWidth="1"/>
    <col min="9" max="9" width="13" customWidth="1"/>
    <col min="10" max="11" width="8.7109375" customWidth="1"/>
    <col min="12" max="12" width="3.7109375" customWidth="1"/>
    <col min="13" max="14" width="12.85546875" customWidth="1"/>
    <col min="15" max="15" width="5.28515625" customWidth="1"/>
    <col min="16" max="18" width="15.85546875" customWidth="1"/>
    <col min="19" max="19" width="1.7109375" customWidth="1"/>
    <col min="20" max="20" width="13.85546875" customWidth="1"/>
    <col min="21" max="21" width="10.28515625" customWidth="1"/>
    <col min="22" max="22" width="10.85546875" customWidth="1"/>
    <col min="23" max="23" width="10.42578125" customWidth="1"/>
    <col min="24" max="24" width="12" customWidth="1"/>
    <col min="25" max="25" width="8.7109375" customWidth="1"/>
    <col min="26" max="26" width="9.7109375" customWidth="1"/>
    <col min="27" max="27" width="14.28515625" customWidth="1"/>
    <col min="28" max="28" width="8.7109375" customWidth="1"/>
    <col min="29" max="29" width="13" customWidth="1"/>
    <col min="30" max="30" width="8.7109375" customWidth="1"/>
    <col min="31" max="31" width="12.7109375" customWidth="1"/>
    <col min="32" max="33" width="8.7109375" customWidth="1"/>
  </cols>
  <sheetData>
    <row r="1" spans="1:37" ht="31.5" customHeight="1">
      <c r="A1" s="226"/>
      <c r="B1" s="226"/>
      <c r="C1" s="362"/>
      <c r="D1" s="227" t="s">
        <v>41</v>
      </c>
      <c r="E1" s="228" t="s">
        <v>41</v>
      </c>
      <c r="F1" s="947" t="s">
        <v>885</v>
      </c>
      <c r="G1" s="720"/>
      <c r="H1" s="228" t="s">
        <v>886</v>
      </c>
      <c r="I1" s="229" t="s">
        <v>887</v>
      </c>
      <c r="J1" s="230"/>
      <c r="K1" s="230"/>
      <c r="L1" s="231"/>
      <c r="M1" s="232"/>
      <c r="N1" s="233"/>
      <c r="O1" s="233"/>
      <c r="P1" s="233"/>
      <c r="Q1" s="233"/>
      <c r="R1" s="231" t="s">
        <v>888</v>
      </c>
      <c r="S1" s="231"/>
      <c r="T1" s="231"/>
      <c r="U1" s="231"/>
      <c r="V1" s="231"/>
      <c r="W1" s="231"/>
      <c r="X1" s="231"/>
      <c r="Y1" s="231"/>
      <c r="Z1" s="231"/>
      <c r="AA1" s="231"/>
      <c r="AB1" s="231"/>
      <c r="AC1" s="231"/>
      <c r="AD1" s="231"/>
      <c r="AE1" s="231"/>
      <c r="AF1" s="231"/>
      <c r="AG1" s="231"/>
      <c r="AH1" s="231"/>
      <c r="AI1" s="231"/>
      <c r="AJ1" s="231"/>
      <c r="AK1" s="231"/>
    </row>
    <row r="2" spans="1:37" ht="5.25" customHeight="1">
      <c r="A2" s="67"/>
      <c r="B2" s="570"/>
      <c r="C2" s="234"/>
      <c r="D2" s="235"/>
      <c r="E2" s="236"/>
      <c r="F2" s="236"/>
      <c r="G2" s="236"/>
      <c r="H2" s="236"/>
      <c r="I2" s="237"/>
      <c r="J2" s="238"/>
      <c r="K2" s="67"/>
      <c r="L2" s="4"/>
      <c r="M2" s="239"/>
      <c r="N2" s="240"/>
      <c r="O2" s="240"/>
      <c r="P2" s="240"/>
      <c r="Q2" s="240"/>
      <c r="R2" s="239"/>
      <c r="S2" s="239"/>
      <c r="T2" s="239"/>
      <c r="U2" s="239"/>
      <c r="V2" s="239"/>
      <c r="W2" s="239"/>
      <c r="X2" s="239"/>
      <c r="Y2" s="239"/>
      <c r="Z2" s="239"/>
      <c r="AA2" s="239"/>
      <c r="AB2" s="239"/>
      <c r="AC2" s="239"/>
      <c r="AD2" s="239"/>
      <c r="AE2" s="239"/>
      <c r="AF2" s="239"/>
      <c r="AG2" s="239"/>
      <c r="AH2" s="239"/>
      <c r="AI2" s="239"/>
      <c r="AJ2" s="239"/>
      <c r="AK2" s="239"/>
    </row>
    <row r="3" spans="1:37" ht="45.75" customHeight="1">
      <c r="A3" s="363"/>
      <c r="B3" s="572" t="s">
        <v>889</v>
      </c>
      <c r="C3" s="569"/>
      <c r="D3" s="235"/>
      <c r="E3" s="236"/>
      <c r="F3" s="236"/>
      <c r="G3" s="236"/>
      <c r="H3" s="236"/>
      <c r="I3" s="241"/>
      <c r="J3" s="238"/>
      <c r="K3" s="67"/>
      <c r="L3" s="4"/>
      <c r="M3" s="239"/>
      <c r="N3" s="240"/>
      <c r="O3" s="240"/>
      <c r="P3" s="240"/>
      <c r="Q3" s="240"/>
      <c r="R3" s="239"/>
      <c r="S3" s="239"/>
      <c r="T3" s="239"/>
      <c r="U3" s="239"/>
      <c r="V3" s="239"/>
      <c r="W3" s="239"/>
      <c r="X3" s="239"/>
      <c r="Y3" s="239"/>
      <c r="Z3" s="239"/>
      <c r="AA3" s="239"/>
      <c r="AB3" s="239"/>
      <c r="AC3" s="239"/>
      <c r="AD3" s="239"/>
      <c r="AE3" s="239"/>
      <c r="AF3" s="239"/>
      <c r="AG3" s="239"/>
      <c r="AH3" s="239"/>
      <c r="AI3" s="239"/>
      <c r="AJ3" s="239"/>
      <c r="AK3" s="239"/>
    </row>
    <row r="4" spans="1:37">
      <c r="A4" s="67"/>
      <c r="B4" s="571"/>
      <c r="C4" s="366"/>
      <c r="D4" s="235"/>
      <c r="E4" s="236"/>
      <c r="F4" s="242"/>
      <c r="G4" s="242"/>
      <c r="H4" s="236"/>
      <c r="I4" s="243"/>
      <c r="J4" s="244"/>
      <c r="K4" s="67"/>
      <c r="L4" s="4"/>
      <c r="M4" s="239"/>
      <c r="N4" s="240"/>
      <c r="O4" s="240"/>
      <c r="P4" s="240"/>
      <c r="Q4" s="240"/>
      <c r="R4" s="239"/>
      <c r="S4" s="239"/>
      <c r="T4" s="239"/>
      <c r="U4" s="239"/>
      <c r="V4" s="239"/>
      <c r="W4" s="239"/>
      <c r="X4" s="239"/>
      <c r="Y4" s="239"/>
      <c r="Z4" s="239"/>
      <c r="AA4" s="239"/>
      <c r="AB4" s="239"/>
      <c r="AC4" s="239"/>
      <c r="AD4" s="239"/>
      <c r="AE4" s="239"/>
      <c r="AF4" s="239"/>
      <c r="AG4" s="239"/>
      <c r="AH4" s="239"/>
      <c r="AI4" s="239"/>
      <c r="AJ4" s="239"/>
      <c r="AK4" s="239"/>
    </row>
    <row r="5" spans="1:37">
      <c r="A5" s="234" t="s">
        <v>890</v>
      </c>
      <c r="B5" s="29"/>
      <c r="C5" s="366"/>
      <c r="D5" s="235"/>
      <c r="E5" s="245"/>
      <c r="F5" s="245"/>
      <c r="G5" s="245"/>
      <c r="H5" s="245"/>
      <c r="I5" s="243"/>
      <c r="J5" s="244"/>
      <c r="K5" s="67"/>
      <c r="L5" s="4"/>
      <c r="M5" s="239"/>
      <c r="N5" s="240"/>
      <c r="O5" s="240"/>
      <c r="P5" s="240"/>
      <c r="Q5" s="240"/>
      <c r="R5" s="239"/>
      <c r="S5" s="239"/>
      <c r="T5" s="239"/>
      <c r="U5" s="239"/>
      <c r="V5" s="239"/>
      <c r="W5" s="239"/>
      <c r="X5" s="239"/>
      <c r="Y5" s="239"/>
      <c r="Z5" s="239"/>
      <c r="AA5" s="239"/>
      <c r="AB5" s="239"/>
      <c r="AC5" s="239"/>
      <c r="AD5" s="239"/>
      <c r="AE5" s="239"/>
      <c r="AF5" s="239"/>
      <c r="AG5" s="239"/>
      <c r="AH5" s="239"/>
      <c r="AI5" s="239"/>
      <c r="AJ5" s="239"/>
      <c r="AK5" s="239"/>
    </row>
    <row r="6" spans="1:37">
      <c r="A6" s="67"/>
      <c r="B6" s="67" t="str">
        <f>Summary!E6</f>
        <v>Walk Score</v>
      </c>
      <c r="C6" s="363"/>
      <c r="D6" s="246">
        <v>0</v>
      </c>
      <c r="E6" s="247">
        <v>0</v>
      </c>
      <c r="F6" s="944">
        <f>Summary!F6</f>
        <v>50</v>
      </c>
      <c r="G6" s="939"/>
      <c r="H6" s="247">
        <v>100</v>
      </c>
      <c r="I6" s="248">
        <v>100</v>
      </c>
      <c r="J6" s="249"/>
      <c r="K6" s="67"/>
      <c r="L6" s="4"/>
      <c r="M6" s="240"/>
      <c r="N6" s="240"/>
      <c r="O6" s="240"/>
      <c r="P6" s="240"/>
      <c r="Q6" s="240"/>
      <c r="R6" s="239"/>
      <c r="S6" s="239"/>
      <c r="T6" s="239"/>
      <c r="U6" s="239"/>
      <c r="V6" s="239"/>
      <c r="W6" s="239"/>
      <c r="X6" s="239"/>
      <c r="Y6" s="239"/>
      <c r="Z6" s="239"/>
      <c r="AA6" s="239"/>
      <c r="AB6" s="239"/>
      <c r="AC6" s="239"/>
      <c r="AD6" s="239"/>
      <c r="AE6" s="239"/>
      <c r="AF6" s="239"/>
      <c r="AG6" s="239"/>
      <c r="AH6" s="239"/>
      <c r="AI6" s="239"/>
      <c r="AJ6" s="239"/>
      <c r="AK6" s="239"/>
    </row>
    <row r="7" spans="1:37">
      <c r="A7" s="67"/>
      <c r="B7" s="67" t="str">
        <f>Summary!E7</f>
        <v>Community Engagement Score</v>
      </c>
      <c r="C7" s="363"/>
      <c r="D7" s="246">
        <v>1</v>
      </c>
      <c r="E7" s="247">
        <v>1</v>
      </c>
      <c r="F7" s="948">
        <f>Summary!F7</f>
        <v>4</v>
      </c>
      <c r="G7" s="949"/>
      <c r="H7" s="247">
        <v>8</v>
      </c>
      <c r="I7" s="250">
        <v>8</v>
      </c>
      <c r="J7" s="611"/>
      <c r="K7" s="67"/>
      <c r="L7" s="4"/>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row>
    <row r="8" spans="1:37">
      <c r="A8" s="67"/>
      <c r="B8" s="67" t="str">
        <f>Summary!E8</f>
        <v>Alternative Transportation Percentage</v>
      </c>
      <c r="C8" s="363"/>
      <c r="D8" s="251">
        <v>0</v>
      </c>
      <c r="E8" s="252">
        <v>0</v>
      </c>
      <c r="F8" s="943">
        <f>Summary!F8</f>
        <v>0.21428571428571427</v>
      </c>
      <c r="G8" s="939"/>
      <c r="H8" s="252">
        <v>1</v>
      </c>
      <c r="I8" s="253">
        <v>1</v>
      </c>
      <c r="J8" s="20"/>
      <c r="K8" s="67"/>
      <c r="L8" s="4"/>
      <c r="M8" s="239"/>
      <c r="N8" s="239"/>
      <c r="O8" s="239"/>
      <c r="P8" s="239"/>
      <c r="Q8" s="239"/>
      <c r="R8" s="239"/>
      <c r="S8" s="239"/>
      <c r="T8" s="239"/>
      <c r="U8" s="239"/>
      <c r="V8" s="239"/>
      <c r="W8" s="4"/>
      <c r="X8" s="239"/>
      <c r="Y8" s="239"/>
      <c r="Z8" s="239"/>
      <c r="AA8" s="239"/>
      <c r="AB8" s="239"/>
      <c r="AC8" s="239"/>
      <c r="AD8" s="239"/>
      <c r="AE8" s="239"/>
      <c r="AF8" s="239"/>
      <c r="AG8" s="239"/>
      <c r="AH8" s="239"/>
      <c r="AI8" s="239"/>
      <c r="AJ8" s="239"/>
      <c r="AK8" s="239"/>
    </row>
    <row r="9" spans="1:37">
      <c r="A9" s="67"/>
      <c r="B9" s="67" t="str">
        <f>Summary!E11</f>
        <v>Transportation carbon - Percent Reduction</v>
      </c>
      <c r="C9" s="363"/>
      <c r="D9" s="251">
        <v>0</v>
      </c>
      <c r="E9" s="252">
        <v>0</v>
      </c>
      <c r="F9" s="943">
        <f>Summary!F11</f>
        <v>0.57056101792943903</v>
      </c>
      <c r="G9" s="939"/>
      <c r="H9" s="252">
        <v>1</v>
      </c>
      <c r="I9" s="253">
        <v>1</v>
      </c>
      <c r="J9" s="20"/>
      <c r="K9" s="67"/>
      <c r="L9" s="4"/>
      <c r="M9" s="239"/>
      <c r="N9" s="239"/>
      <c r="O9" s="239"/>
      <c r="P9" s="239"/>
      <c r="Q9" s="239"/>
      <c r="R9" s="239"/>
      <c r="S9" s="239"/>
      <c r="T9" s="239"/>
      <c r="U9" s="239"/>
      <c r="V9" s="239"/>
      <c r="W9" s="4"/>
      <c r="X9" s="239"/>
      <c r="Y9" s="239"/>
      <c r="Z9" s="239"/>
      <c r="AA9" s="239"/>
      <c r="AB9" s="239"/>
      <c r="AC9" s="239"/>
      <c r="AD9" s="239"/>
      <c r="AE9" s="239"/>
      <c r="AF9" s="239"/>
      <c r="AG9" s="239"/>
      <c r="AH9" s="239"/>
      <c r="AI9" s="239"/>
      <c r="AJ9" s="239"/>
      <c r="AK9" s="239"/>
    </row>
    <row r="10" spans="1:37">
      <c r="A10" s="67"/>
      <c r="B10" s="67" t="str">
        <f>Summary!E12</f>
        <v>Parking Space Reduction</v>
      </c>
      <c r="C10" s="363"/>
      <c r="D10" s="251">
        <v>-1</v>
      </c>
      <c r="E10" s="252">
        <v>-1</v>
      </c>
      <c r="F10" s="943">
        <f>Summary!F12</f>
        <v>0.89333333333333331</v>
      </c>
      <c r="G10" s="939"/>
      <c r="H10" s="252">
        <v>1</v>
      </c>
      <c r="I10" s="253">
        <v>1</v>
      </c>
      <c r="J10" s="20"/>
      <c r="K10" s="67"/>
      <c r="L10" s="4"/>
      <c r="M10" s="239"/>
      <c r="N10" s="239"/>
      <c r="O10" s="239"/>
      <c r="P10" s="239"/>
      <c r="Q10" s="239"/>
      <c r="R10" s="239"/>
      <c r="S10" s="239"/>
      <c r="T10" s="239"/>
      <c r="U10" s="239"/>
      <c r="V10" s="239"/>
      <c r="W10" s="4"/>
      <c r="X10" s="239"/>
      <c r="Y10" s="239"/>
      <c r="Z10" s="239"/>
      <c r="AA10" s="239"/>
      <c r="AB10" s="239"/>
      <c r="AC10" s="239"/>
      <c r="AD10" s="239"/>
      <c r="AE10" s="239"/>
      <c r="AF10" s="239"/>
      <c r="AG10" s="239"/>
      <c r="AH10" s="239"/>
      <c r="AI10" s="239"/>
      <c r="AJ10" s="239"/>
      <c r="AK10" s="239"/>
    </row>
    <row r="11" spans="1:37">
      <c r="A11" s="67"/>
      <c r="B11" s="67" t="str">
        <f>Summary!E13</f>
        <v>Bicycle Infrastructure - Bike Racks</v>
      </c>
      <c r="C11" s="363"/>
      <c r="D11" s="251">
        <v>0</v>
      </c>
      <c r="E11" s="252">
        <v>0</v>
      </c>
      <c r="F11" s="943">
        <f>Summary!F13</f>
        <v>0.21428571428571427</v>
      </c>
      <c r="G11" s="939"/>
      <c r="H11" s="252">
        <v>0.5</v>
      </c>
      <c r="I11" s="253">
        <v>0.5</v>
      </c>
      <c r="J11" s="20"/>
      <c r="K11" s="67"/>
      <c r="L11" s="4"/>
      <c r="M11" s="239"/>
      <c r="N11" s="239"/>
      <c r="O11" s="239"/>
      <c r="P11" s="239"/>
      <c r="Q11" s="239"/>
      <c r="R11" s="239"/>
      <c r="S11" s="239"/>
      <c r="T11" s="239"/>
      <c r="U11" s="239"/>
      <c r="V11" s="239"/>
      <c r="W11" s="4"/>
      <c r="X11" s="239"/>
      <c r="Y11" s="239"/>
      <c r="Z11" s="239"/>
      <c r="AA11" s="239"/>
      <c r="AB11" s="239"/>
      <c r="AC11" s="239"/>
      <c r="AD11" s="239"/>
      <c r="AE11" s="239"/>
      <c r="AF11" s="239"/>
      <c r="AG11" s="239"/>
      <c r="AH11" s="239"/>
      <c r="AI11" s="239"/>
      <c r="AJ11" s="239"/>
      <c r="AK11" s="239"/>
    </row>
    <row r="12" spans="1:37">
      <c r="A12" s="67"/>
      <c r="B12" s="67" t="str">
        <f>Summary!E14</f>
        <v>Bicycle Infrastructure - Showers</v>
      </c>
      <c r="C12" s="363"/>
      <c r="D12" s="251">
        <v>0</v>
      </c>
      <c r="E12" s="252">
        <v>0</v>
      </c>
      <c r="F12" s="943">
        <f>Summary!F14</f>
        <v>2.8571428571428571E-2</v>
      </c>
      <c r="G12" s="939"/>
      <c r="H12" s="252">
        <v>0.05</v>
      </c>
      <c r="I12" s="253">
        <v>0.05</v>
      </c>
      <c r="J12" s="20"/>
      <c r="K12" s="67"/>
      <c r="L12" s="4"/>
      <c r="M12" s="239"/>
      <c r="N12" s="239"/>
      <c r="O12" s="239"/>
      <c r="P12" s="239"/>
      <c r="Q12" s="239"/>
      <c r="R12" s="239"/>
      <c r="S12" s="239"/>
      <c r="T12" s="239"/>
      <c r="U12" s="239"/>
      <c r="V12" s="239"/>
      <c r="W12" s="4"/>
      <c r="X12" s="239"/>
      <c r="Y12" s="239"/>
      <c r="Z12" s="239"/>
      <c r="AA12" s="239"/>
      <c r="AB12" s="239"/>
      <c r="AC12" s="239"/>
      <c r="AD12" s="239"/>
      <c r="AE12" s="239"/>
      <c r="AF12" s="239"/>
      <c r="AG12" s="239"/>
      <c r="AH12" s="239"/>
      <c r="AI12" s="239"/>
      <c r="AJ12" s="239"/>
      <c r="AK12" s="239"/>
    </row>
    <row r="13" spans="1:37">
      <c r="A13" s="938" t="s">
        <v>891</v>
      </c>
      <c r="B13" s="939"/>
      <c r="C13" s="357"/>
      <c r="D13" s="235"/>
      <c r="E13" s="254"/>
      <c r="F13" s="254"/>
      <c r="G13" s="254"/>
      <c r="H13" s="254"/>
      <c r="I13" s="236"/>
      <c r="J13" s="20"/>
      <c r="K13" s="67"/>
      <c r="L13" s="4"/>
      <c r="M13" s="239"/>
      <c r="N13" s="239"/>
      <c r="O13" s="239"/>
      <c r="P13" s="239"/>
      <c r="Q13" s="239"/>
      <c r="R13" s="239"/>
      <c r="S13" s="239"/>
      <c r="T13" s="239"/>
      <c r="U13" s="239"/>
      <c r="V13" s="239"/>
      <c r="W13" s="4"/>
      <c r="X13" s="239"/>
      <c r="Y13" s="239"/>
      <c r="Z13" s="239"/>
      <c r="AA13" s="239"/>
      <c r="AB13" s="239"/>
      <c r="AC13" s="239"/>
      <c r="AD13" s="239"/>
      <c r="AE13" s="239"/>
      <c r="AF13" s="239"/>
      <c r="AG13" s="239"/>
      <c r="AH13" s="239"/>
      <c r="AI13" s="239"/>
      <c r="AJ13" s="239"/>
      <c r="AK13" s="239"/>
    </row>
    <row r="14" spans="1:37">
      <c r="A14" s="67"/>
      <c r="B14" s="67" t="str">
        <f>Summary!E16</f>
        <v>Vegetated site area - Post Development</v>
      </c>
      <c r="C14" s="363"/>
      <c r="D14" s="251">
        <v>0</v>
      </c>
      <c r="E14" s="255">
        <v>0</v>
      </c>
      <c r="F14" s="941">
        <f>Summary!F16</f>
        <v>6.8300198077910643E-2</v>
      </c>
      <c r="G14" s="939"/>
      <c r="H14" s="255">
        <v>0.5</v>
      </c>
      <c r="I14" s="253">
        <v>1</v>
      </c>
      <c r="J14" s="20"/>
      <c r="K14" s="67"/>
      <c r="L14" s="4"/>
      <c r="M14" s="239"/>
      <c r="N14" s="239"/>
      <c r="O14" s="239"/>
      <c r="P14" s="239"/>
      <c r="Q14" s="239"/>
      <c r="R14" s="239"/>
      <c r="S14" s="239"/>
      <c r="T14" s="239"/>
      <c r="U14" s="239"/>
      <c r="V14" s="239"/>
      <c r="W14" s="4"/>
      <c r="X14" s="239"/>
      <c r="Y14" s="239"/>
      <c r="Z14" s="239"/>
      <c r="AA14" s="239"/>
      <c r="AB14" s="239"/>
      <c r="AC14" s="239"/>
      <c r="AD14" s="239"/>
      <c r="AE14" s="239"/>
      <c r="AF14" s="239"/>
      <c r="AG14" s="239"/>
      <c r="AH14" s="239"/>
      <c r="AI14" s="239"/>
      <c r="AJ14" s="239"/>
      <c r="AK14" s="239"/>
    </row>
    <row r="15" spans="1:37">
      <c r="A15" s="67"/>
      <c r="B15" s="67" t="str">
        <f>Summary!E20</f>
        <v>Native plantings - Percent of vegetation</v>
      </c>
      <c r="C15" s="363"/>
      <c r="D15" s="251">
        <v>0</v>
      </c>
      <c r="E15" s="255">
        <v>0</v>
      </c>
      <c r="F15" s="941">
        <f>Summary!F20</f>
        <v>0.73147153598281422</v>
      </c>
      <c r="G15" s="939"/>
      <c r="H15" s="255">
        <v>1</v>
      </c>
      <c r="I15" s="253">
        <v>1</v>
      </c>
      <c r="J15" s="20"/>
      <c r="K15" s="67"/>
      <c r="L15" s="4"/>
      <c r="M15" s="239"/>
      <c r="N15" s="239"/>
      <c r="O15" s="239"/>
      <c r="P15" s="239"/>
      <c r="Q15" s="239"/>
      <c r="R15" s="239"/>
      <c r="S15" s="239"/>
      <c r="T15" s="239"/>
      <c r="U15" s="239"/>
      <c r="V15" s="239"/>
      <c r="W15" s="4"/>
      <c r="X15" s="239"/>
      <c r="Y15" s="239"/>
      <c r="Z15" s="239"/>
      <c r="AA15" s="239"/>
      <c r="AB15" s="239"/>
      <c r="AC15" s="239"/>
      <c r="AD15" s="239"/>
      <c r="AE15" s="239"/>
      <c r="AF15" s="239"/>
      <c r="AG15" s="239"/>
      <c r="AH15" s="239"/>
      <c r="AI15" s="239"/>
      <c r="AJ15" s="239"/>
      <c r="AK15" s="239"/>
    </row>
    <row r="16" spans="1:37">
      <c r="A16" s="938" t="s">
        <v>892</v>
      </c>
      <c r="B16" s="939"/>
      <c r="C16" s="357"/>
      <c r="D16" s="235"/>
      <c r="E16" s="257"/>
      <c r="F16" s="258" t="s">
        <v>448</v>
      </c>
      <c r="G16" s="258" t="s">
        <v>442</v>
      </c>
      <c r="H16" s="257"/>
      <c r="I16" s="236"/>
      <c r="J16" s="20"/>
      <c r="K16" s="67"/>
      <c r="L16" s="4"/>
      <c r="M16" s="239"/>
      <c r="N16" s="239"/>
      <c r="O16" s="239"/>
      <c r="P16" s="239"/>
      <c r="Q16" s="239"/>
      <c r="R16" s="239"/>
      <c r="S16" s="239"/>
      <c r="T16" s="239"/>
      <c r="U16" s="239"/>
      <c r="V16" s="239"/>
      <c r="W16" s="4"/>
      <c r="X16" s="239"/>
      <c r="Y16" s="239"/>
      <c r="Z16" s="239"/>
      <c r="AA16" s="239"/>
      <c r="AB16" s="239"/>
      <c r="AC16" s="239"/>
      <c r="AD16" s="239"/>
      <c r="AE16" s="239"/>
      <c r="AF16" s="239"/>
      <c r="AG16" s="239"/>
      <c r="AH16" s="239"/>
      <c r="AI16" s="239"/>
      <c r="AJ16" s="239"/>
      <c r="AK16" s="239"/>
    </row>
    <row r="17" spans="1:37" ht="15.75" customHeight="1">
      <c r="A17" s="67"/>
      <c r="B17" s="67" t="s">
        <v>783</v>
      </c>
      <c r="C17" s="67"/>
      <c r="D17" s="259">
        <v>0</v>
      </c>
      <c r="E17" s="255">
        <v>0</v>
      </c>
      <c r="F17" s="256">
        <f>Summary!F27</f>
        <v>0.73717152496505445</v>
      </c>
      <c r="G17" s="256">
        <f>Summary!F33</f>
        <v>0.71232876712328763</v>
      </c>
      <c r="H17" s="255">
        <v>1</v>
      </c>
      <c r="I17" s="259">
        <v>1</v>
      </c>
      <c r="J17" s="20"/>
      <c r="K17" s="67"/>
      <c r="L17" s="4"/>
      <c r="M17" s="240"/>
      <c r="N17" s="240"/>
      <c r="O17" s="240"/>
      <c r="P17" s="240"/>
      <c r="Q17" s="240"/>
      <c r="R17" s="239"/>
      <c r="S17" s="239"/>
      <c r="T17" s="239"/>
      <c r="U17" s="239"/>
      <c r="V17" s="239"/>
      <c r="W17" s="4"/>
      <c r="X17" s="239"/>
      <c r="Y17" s="239"/>
      <c r="Z17" s="239"/>
      <c r="AA17" s="239"/>
      <c r="AB17" s="239"/>
      <c r="AC17" s="239"/>
      <c r="AD17" s="239"/>
      <c r="AE17" s="239"/>
      <c r="AF17" s="239"/>
      <c r="AG17" s="239"/>
      <c r="AH17" s="239"/>
      <c r="AI17" s="239"/>
      <c r="AJ17" s="239"/>
      <c r="AK17" s="239"/>
    </row>
    <row r="18" spans="1:37" ht="15.75" customHeight="1">
      <c r="A18" s="67"/>
      <c r="B18" s="67" t="str">
        <f>Summary!E34</f>
        <v>Potable water used for Irrigation?</v>
      </c>
      <c r="C18" s="67"/>
      <c r="D18" s="236" t="s">
        <v>1114</v>
      </c>
      <c r="E18" s="260" t="s">
        <v>90</v>
      </c>
      <c r="F18" s="942">
        <f>IF('4 - Water'!H28="YES",0,1)</f>
        <v>1</v>
      </c>
      <c r="G18" s="939"/>
      <c r="H18" s="261" t="s">
        <v>359</v>
      </c>
      <c r="I18" s="236" t="s">
        <v>1115</v>
      </c>
      <c r="J18" s="20"/>
      <c r="K18" s="67"/>
      <c r="L18" s="4"/>
      <c r="M18" s="240"/>
      <c r="N18" s="240"/>
      <c r="O18" s="240"/>
      <c r="P18" s="240"/>
      <c r="Q18" s="240"/>
      <c r="R18" s="239"/>
      <c r="S18" s="239"/>
      <c r="T18" s="239"/>
      <c r="U18" s="239"/>
      <c r="V18" s="239"/>
      <c r="W18" s="239"/>
      <c r="X18" s="239"/>
      <c r="Y18" s="239"/>
      <c r="Z18" s="239"/>
      <c r="AA18" s="239"/>
      <c r="AB18" s="239"/>
      <c r="AC18" s="239"/>
      <c r="AD18" s="239"/>
      <c r="AE18" s="239"/>
      <c r="AF18" s="239"/>
      <c r="AG18" s="239"/>
      <c r="AH18" s="239"/>
      <c r="AI18" s="239"/>
      <c r="AJ18" s="239"/>
      <c r="AK18" s="239"/>
    </row>
    <row r="19" spans="1:37" ht="15.75" customHeight="1">
      <c r="A19" s="67"/>
      <c r="B19" s="67" t="str">
        <f>Summary!E35</f>
        <v xml:space="preserve">Rainwater managed onsite </v>
      </c>
      <c r="C19" s="67"/>
      <c r="D19" s="259">
        <v>0</v>
      </c>
      <c r="E19" s="255">
        <v>0</v>
      </c>
      <c r="F19" s="941">
        <f>'4 - Water'!H118</f>
        <v>0.15310322060010273</v>
      </c>
      <c r="G19" s="939"/>
      <c r="H19" s="255">
        <v>1</v>
      </c>
      <c r="I19" s="259">
        <v>1</v>
      </c>
      <c r="J19" s="20"/>
      <c r="K19" s="67"/>
      <c r="L19" s="4"/>
      <c r="M19" s="240"/>
      <c r="N19" s="240"/>
      <c r="O19" s="240"/>
      <c r="P19" s="240"/>
      <c r="Q19" s="240"/>
      <c r="R19" s="239"/>
      <c r="S19" s="239"/>
      <c r="T19" s="239"/>
      <c r="U19" s="239"/>
      <c r="V19" s="239"/>
      <c r="W19" s="239"/>
      <c r="X19" s="239"/>
      <c r="Y19" s="239"/>
      <c r="Z19" s="239"/>
      <c r="AA19" s="239"/>
      <c r="AB19" s="239"/>
      <c r="AC19" s="239"/>
      <c r="AD19" s="239"/>
      <c r="AE19" s="239"/>
      <c r="AF19" s="239"/>
      <c r="AG19" s="239"/>
      <c r="AH19" s="239"/>
      <c r="AI19" s="239"/>
      <c r="AJ19" s="239"/>
      <c r="AK19" s="239"/>
    </row>
    <row r="20" spans="1:37" ht="15.75" customHeight="1">
      <c r="A20" s="67"/>
      <c r="B20" s="67" t="str">
        <f>Summary!E36</f>
        <v>Estimated runoff quality</v>
      </c>
      <c r="C20" s="67"/>
      <c r="D20" s="236">
        <v>1</v>
      </c>
      <c r="E20" s="262">
        <v>1</v>
      </c>
      <c r="F20" s="940">
        <f>'4 - Water'!H124</f>
        <v>3</v>
      </c>
      <c r="G20" s="939"/>
      <c r="H20" s="262">
        <v>5</v>
      </c>
      <c r="I20" s="236">
        <v>5</v>
      </c>
      <c r="J20" s="20"/>
      <c r="K20" s="67"/>
      <c r="L20" s="4"/>
      <c r="M20" s="240"/>
      <c r="N20" s="240"/>
      <c r="O20" s="240"/>
      <c r="P20" s="240"/>
      <c r="Q20" s="240"/>
      <c r="R20" s="239"/>
      <c r="S20" s="239"/>
      <c r="T20" s="239"/>
      <c r="U20" s="239"/>
      <c r="V20" s="239"/>
      <c r="W20" s="239"/>
      <c r="X20" s="239"/>
      <c r="Y20" s="239"/>
      <c r="Z20" s="239"/>
      <c r="AA20" s="239"/>
      <c r="AB20" s="239"/>
      <c r="AC20" s="239"/>
      <c r="AD20" s="239"/>
      <c r="AE20" s="239"/>
      <c r="AF20" s="239"/>
      <c r="AG20" s="239"/>
      <c r="AH20" s="239"/>
      <c r="AI20" s="239"/>
      <c r="AJ20" s="239"/>
      <c r="AK20" s="239"/>
    </row>
    <row r="21" spans="1:37" ht="15.75" customHeight="1">
      <c r="A21" s="938" t="s">
        <v>893</v>
      </c>
      <c r="B21" s="939"/>
      <c r="C21" s="357"/>
      <c r="D21" s="236"/>
      <c r="E21" s="263"/>
      <c r="F21" s="264" t="s">
        <v>894</v>
      </c>
      <c r="G21" s="264"/>
      <c r="H21" s="264"/>
      <c r="I21" s="236"/>
      <c r="J21" s="20"/>
      <c r="K21" s="67"/>
      <c r="L21" s="4"/>
      <c r="M21" s="240"/>
      <c r="N21" s="240"/>
      <c r="O21" s="240"/>
      <c r="P21" s="240"/>
      <c r="Q21" s="240"/>
      <c r="R21" s="239"/>
      <c r="S21" s="239"/>
      <c r="T21" s="239"/>
      <c r="U21" s="239"/>
      <c r="V21" s="239"/>
      <c r="W21" s="239"/>
      <c r="X21" s="239"/>
      <c r="Y21" s="239"/>
      <c r="Z21" s="239"/>
      <c r="AA21" s="239"/>
      <c r="AB21" s="239"/>
      <c r="AC21" s="239"/>
      <c r="AD21" s="239"/>
      <c r="AE21" s="239"/>
      <c r="AF21" s="239"/>
      <c r="AG21" s="239"/>
      <c r="AH21" s="239"/>
      <c r="AI21" s="239"/>
      <c r="AJ21" s="239"/>
      <c r="AK21" s="239"/>
    </row>
    <row r="22" spans="1:37" ht="15.75" customHeight="1">
      <c r="A22" s="67"/>
      <c r="B22" s="67" t="str">
        <f>Summary!E40</f>
        <v>Construction cost reduction from the benchmark</v>
      </c>
      <c r="C22" s="363"/>
      <c r="D22" s="251">
        <v>-1</v>
      </c>
      <c r="E22" s="255">
        <v>-1</v>
      </c>
      <c r="F22" s="941">
        <f>Summary!F40</f>
        <v>0.51020408163265296</v>
      </c>
      <c r="G22" s="939"/>
      <c r="H22" s="255">
        <v>0.5</v>
      </c>
      <c r="I22" s="259">
        <v>0.5</v>
      </c>
      <c r="J22" s="20"/>
      <c r="K22" s="67"/>
      <c r="L22" s="4"/>
      <c r="M22" s="240"/>
      <c r="N22" s="240"/>
      <c r="O22" s="240"/>
      <c r="P22" s="240"/>
      <c r="Q22" s="240"/>
      <c r="R22" s="239"/>
      <c r="S22" s="239"/>
      <c r="T22" s="239"/>
      <c r="U22" s="239"/>
      <c r="V22" s="239"/>
      <c r="W22" s="239"/>
      <c r="X22" s="239"/>
      <c r="Y22" s="239"/>
      <c r="Z22" s="239"/>
      <c r="AA22" s="239"/>
      <c r="AB22" s="239"/>
      <c r="AC22" s="239"/>
      <c r="AD22" s="239"/>
      <c r="AE22" s="239"/>
      <c r="AF22" s="239"/>
      <c r="AG22" s="239"/>
      <c r="AH22" s="239"/>
      <c r="AI22" s="239"/>
      <c r="AJ22" s="239"/>
      <c r="AK22" s="239"/>
    </row>
    <row r="23" spans="1:37" ht="15.75" customHeight="1">
      <c r="A23" s="67"/>
      <c r="B23" s="20" t="s">
        <v>356</v>
      </c>
      <c r="C23" s="308"/>
      <c r="D23" s="251">
        <v>-0.5</v>
      </c>
      <c r="E23" s="255">
        <v>-0.5</v>
      </c>
      <c r="F23" s="941">
        <f>Summary!F42</f>
        <v>0.14285714285714299</v>
      </c>
      <c r="G23" s="939"/>
      <c r="H23" s="255">
        <v>0.5</v>
      </c>
      <c r="I23" s="259">
        <v>0.5</v>
      </c>
      <c r="J23" s="20"/>
      <c r="K23" s="67"/>
      <c r="L23" s="4"/>
      <c r="M23" s="240"/>
      <c r="N23" s="240"/>
      <c r="O23" s="240"/>
      <c r="P23" s="240"/>
      <c r="Q23" s="240"/>
      <c r="R23" s="239"/>
      <c r="S23" s="239"/>
      <c r="T23" s="239"/>
      <c r="U23" s="239"/>
      <c r="V23" s="239"/>
      <c r="W23" s="239"/>
      <c r="X23" s="239"/>
      <c r="Y23" s="239"/>
      <c r="Z23" s="239"/>
      <c r="AA23" s="239"/>
      <c r="AB23" s="239"/>
      <c r="AC23" s="239"/>
      <c r="AD23" s="239"/>
      <c r="AE23" s="239"/>
      <c r="AF23" s="239"/>
      <c r="AG23" s="239"/>
      <c r="AH23" s="239"/>
      <c r="AI23" s="239"/>
      <c r="AJ23" s="239"/>
      <c r="AK23" s="239"/>
    </row>
    <row r="24" spans="1:37" ht="15.75" customHeight="1">
      <c r="A24" s="936" t="s">
        <v>895</v>
      </c>
      <c r="B24" s="937"/>
      <c r="C24" s="364"/>
      <c r="D24" s="265"/>
      <c r="E24" s="266"/>
      <c r="F24" s="258" t="s">
        <v>448</v>
      </c>
      <c r="G24" s="258" t="s">
        <v>442</v>
      </c>
      <c r="H24" s="266"/>
      <c r="I24" s="266"/>
      <c r="J24" s="267"/>
      <c r="K24" s="67"/>
      <c r="L24" s="4"/>
      <c r="M24" s="240"/>
      <c r="N24" s="240"/>
      <c r="O24" s="240"/>
      <c r="P24" s="240"/>
      <c r="Q24" s="240"/>
      <c r="R24" s="239"/>
      <c r="S24" s="239"/>
      <c r="T24" s="239"/>
      <c r="U24" s="239"/>
      <c r="V24" s="239"/>
      <c r="W24" s="239"/>
      <c r="X24" s="239"/>
      <c r="Y24" s="239"/>
      <c r="Z24" s="239"/>
      <c r="AA24" s="239"/>
      <c r="AB24" s="239"/>
      <c r="AC24" s="239"/>
      <c r="AD24" s="239"/>
      <c r="AE24" s="239"/>
      <c r="AF24" s="239"/>
      <c r="AG24" s="239"/>
      <c r="AH24" s="239"/>
      <c r="AI24" s="239"/>
      <c r="AJ24" s="239"/>
      <c r="AK24" s="239"/>
    </row>
    <row r="25" spans="1:37" ht="15.75" customHeight="1">
      <c r="A25" s="268"/>
      <c r="B25" s="269" t="s">
        <v>812</v>
      </c>
      <c r="C25" s="308"/>
      <c r="D25" s="253">
        <v>0</v>
      </c>
      <c r="E25" s="255">
        <v>0</v>
      </c>
      <c r="F25" s="256">
        <f>Summary!F46</f>
        <v>0.77575963718820862</v>
      </c>
      <c r="G25" s="256">
        <f>Summary!F52</f>
        <v>0.80736979591836733</v>
      </c>
      <c r="H25" s="255">
        <v>1.05</v>
      </c>
      <c r="I25" s="259">
        <v>1.05</v>
      </c>
      <c r="J25" s="20"/>
      <c r="K25" s="67"/>
      <c r="L25" s="4"/>
      <c r="M25" s="240"/>
      <c r="N25" s="240"/>
      <c r="O25" s="240"/>
      <c r="P25" s="240"/>
      <c r="Q25" s="240"/>
      <c r="R25" s="239"/>
      <c r="S25" s="239"/>
      <c r="T25" s="239"/>
      <c r="U25" s="239"/>
      <c r="V25" s="239"/>
      <c r="W25" s="239"/>
      <c r="X25" s="239"/>
      <c r="Y25" s="239"/>
      <c r="Z25" s="239"/>
      <c r="AA25" s="239"/>
      <c r="AB25" s="239"/>
      <c r="AC25" s="239"/>
      <c r="AD25" s="239"/>
      <c r="AE25" s="239"/>
      <c r="AF25" s="239"/>
      <c r="AG25" s="239"/>
      <c r="AH25" s="239"/>
      <c r="AI25" s="239"/>
      <c r="AJ25" s="239"/>
      <c r="AK25" s="239"/>
    </row>
    <row r="26" spans="1:37" ht="15.75" customHeight="1">
      <c r="A26" s="268"/>
      <c r="B26" s="270" t="s">
        <v>896</v>
      </c>
      <c r="C26" s="365"/>
      <c r="D26" s="253">
        <v>0</v>
      </c>
      <c r="E26" s="255">
        <v>0</v>
      </c>
      <c r="F26" s="256">
        <f>Summary!F48</f>
        <v>0.19444444444444445</v>
      </c>
      <c r="G26" s="256">
        <f>Summary!F54</f>
        <v>0.37090909090909097</v>
      </c>
      <c r="H26" s="255">
        <v>1</v>
      </c>
      <c r="I26" s="259">
        <v>1</v>
      </c>
      <c r="J26" s="20"/>
      <c r="K26" s="67"/>
      <c r="L26" s="4"/>
      <c r="M26" s="240"/>
      <c r="N26" s="240"/>
      <c r="O26" s="240"/>
      <c r="P26" s="240"/>
      <c r="Q26" s="240"/>
      <c r="R26" s="239"/>
      <c r="S26" s="239"/>
      <c r="T26" s="239"/>
      <c r="U26" s="239"/>
      <c r="V26" s="239"/>
      <c r="W26" s="239"/>
      <c r="X26" s="239"/>
      <c r="Y26" s="239"/>
      <c r="Z26" s="239"/>
      <c r="AA26" s="239"/>
      <c r="AB26" s="239"/>
      <c r="AC26" s="239"/>
      <c r="AD26" s="239"/>
      <c r="AE26" s="239"/>
      <c r="AF26" s="239"/>
      <c r="AG26" s="239"/>
      <c r="AH26" s="239"/>
      <c r="AI26" s="239"/>
      <c r="AJ26" s="239"/>
      <c r="AK26" s="239"/>
    </row>
    <row r="27" spans="1:37" ht="15.75" customHeight="1">
      <c r="A27" s="268"/>
      <c r="B27" s="269" t="s">
        <v>897</v>
      </c>
      <c r="C27" s="308"/>
      <c r="D27" s="253">
        <v>0</v>
      </c>
      <c r="E27" s="255">
        <v>0</v>
      </c>
      <c r="F27" s="256">
        <f>Summary!F49</f>
        <v>0.72136296855641813</v>
      </c>
      <c r="G27" s="256">
        <f>Summary!F55</f>
        <v>0.76116118443001191</v>
      </c>
      <c r="H27" s="255">
        <v>1</v>
      </c>
      <c r="I27" s="259">
        <v>1</v>
      </c>
      <c r="J27" s="20"/>
      <c r="K27" s="67"/>
      <c r="L27" s="4"/>
      <c r="M27" s="240"/>
      <c r="N27" s="240"/>
      <c r="O27" s="240"/>
      <c r="P27" s="240"/>
      <c r="Q27" s="240"/>
      <c r="R27" s="239"/>
      <c r="S27" s="239"/>
      <c r="T27" s="239"/>
      <c r="U27" s="239"/>
      <c r="V27" s="239"/>
      <c r="W27" s="239"/>
      <c r="X27" s="239"/>
      <c r="Y27" s="239"/>
      <c r="Z27" s="239"/>
      <c r="AA27" s="239"/>
      <c r="AB27" s="239"/>
      <c r="AC27" s="239"/>
      <c r="AD27" s="239"/>
      <c r="AE27" s="239"/>
      <c r="AF27" s="239"/>
      <c r="AG27" s="239"/>
      <c r="AH27" s="239"/>
      <c r="AI27" s="239"/>
      <c r="AJ27" s="239"/>
      <c r="AK27" s="239"/>
    </row>
    <row r="28" spans="1:37" ht="15.75" customHeight="1">
      <c r="A28" s="268"/>
      <c r="B28" s="269" t="str">
        <f>Summary!E57</f>
        <v>Lighting Power Density  % Reduction</v>
      </c>
      <c r="C28" s="308"/>
      <c r="D28" s="250">
        <v>0</v>
      </c>
      <c r="E28" s="255">
        <v>0</v>
      </c>
      <c r="F28" s="941">
        <f>Summary!F57</f>
        <v>0.30000000000000004</v>
      </c>
      <c r="G28" s="939"/>
      <c r="H28" s="255">
        <v>0.75</v>
      </c>
      <c r="I28" s="259">
        <v>0.75</v>
      </c>
      <c r="J28" s="20"/>
      <c r="K28" s="67"/>
      <c r="L28" s="4"/>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row>
    <row r="29" spans="1:37" ht="15.75" customHeight="1">
      <c r="A29" s="938" t="s">
        <v>898</v>
      </c>
      <c r="B29" s="939"/>
      <c r="C29" s="357"/>
      <c r="D29" s="235"/>
      <c r="E29" s="257"/>
      <c r="F29" s="257"/>
      <c r="G29" s="257"/>
      <c r="H29" s="257"/>
      <c r="I29" s="236"/>
      <c r="J29" s="20"/>
      <c r="K29" s="67"/>
      <c r="L29" s="4"/>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row>
    <row r="30" spans="1:37" ht="15.75" customHeight="1">
      <c r="A30" s="67"/>
      <c r="B30" s="67" t="str">
        <f>Summary!E59</f>
        <v>Quality views</v>
      </c>
      <c r="C30" s="67"/>
      <c r="D30" s="259">
        <v>0</v>
      </c>
      <c r="E30" s="255">
        <v>0</v>
      </c>
      <c r="F30" s="941">
        <f>Summary!F59</f>
        <v>1</v>
      </c>
      <c r="G30" s="939"/>
      <c r="H30" s="255">
        <v>1</v>
      </c>
      <c r="I30" s="259">
        <v>1</v>
      </c>
      <c r="J30" s="20"/>
      <c r="K30" s="67"/>
      <c r="L30" s="4"/>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row>
    <row r="31" spans="1:37" ht="15.75" customHeight="1">
      <c r="A31" s="67"/>
      <c r="B31" s="67" t="str">
        <f>Summary!E60</f>
        <v>Operable windows</v>
      </c>
      <c r="C31" s="67"/>
      <c r="D31" s="259">
        <v>0</v>
      </c>
      <c r="E31" s="255">
        <v>0</v>
      </c>
      <c r="F31" s="941">
        <f>Summary!F60</f>
        <v>0.6428571428571429</v>
      </c>
      <c r="G31" s="939"/>
      <c r="H31" s="255">
        <v>1</v>
      </c>
      <c r="I31" s="259">
        <v>1</v>
      </c>
      <c r="J31" s="20"/>
      <c r="K31" s="67"/>
      <c r="L31" s="4"/>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row>
    <row r="32" spans="1:37" ht="15.75" customHeight="1">
      <c r="A32" s="67"/>
      <c r="B32" s="67" t="str">
        <f>Summary!E61</f>
        <v>Daylight autonomy</v>
      </c>
      <c r="C32" s="67"/>
      <c r="D32" s="259">
        <v>0</v>
      </c>
      <c r="E32" s="255">
        <v>0</v>
      </c>
      <c r="F32" s="941">
        <f>Summary!F61</f>
        <v>1</v>
      </c>
      <c r="G32" s="939"/>
      <c r="H32" s="255">
        <v>1</v>
      </c>
      <c r="I32" s="259">
        <v>1</v>
      </c>
      <c r="J32" s="20"/>
      <c r="K32" s="67"/>
      <c r="L32" s="4"/>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row>
    <row r="33" spans="1:37" ht="15.75" customHeight="1">
      <c r="A33" s="67"/>
      <c r="B33" s="67" t="s">
        <v>899</v>
      </c>
      <c r="C33" s="67"/>
      <c r="D33" s="236" t="s">
        <v>1113</v>
      </c>
      <c r="E33" s="262">
        <v>0</v>
      </c>
      <c r="F33" s="940">
        <f>IF('7 - Wellness'!E26="No",0,1)</f>
        <v>1</v>
      </c>
      <c r="G33" s="939"/>
      <c r="H33" s="262">
        <v>1</v>
      </c>
      <c r="I33" s="236" t="s">
        <v>1112</v>
      </c>
      <c r="J33" s="20"/>
      <c r="K33" s="67"/>
      <c r="L33" s="4"/>
      <c r="M33" s="271"/>
      <c r="N33" s="271"/>
      <c r="O33" s="271"/>
      <c r="P33" s="271"/>
      <c r="Q33" s="271"/>
      <c r="R33" s="272"/>
      <c r="S33" s="272"/>
      <c r="T33" s="272"/>
      <c r="U33" s="272"/>
      <c r="V33" s="272"/>
      <c r="W33" s="239"/>
      <c r="X33" s="239"/>
      <c r="Y33" s="239"/>
      <c r="Z33" s="239"/>
      <c r="AA33" s="239"/>
      <c r="AB33" s="239"/>
      <c r="AC33" s="239"/>
      <c r="AD33" s="239"/>
      <c r="AE33" s="239"/>
      <c r="AF33" s="239"/>
      <c r="AG33" s="239"/>
      <c r="AH33" s="239"/>
      <c r="AI33" s="239"/>
      <c r="AJ33" s="239"/>
      <c r="AK33" s="239"/>
    </row>
    <row r="34" spans="1:37" ht="15.75" customHeight="1">
      <c r="A34" s="67"/>
      <c r="B34" s="67" t="str">
        <f>'7 - Wellness'!D28</f>
        <v>Is VOC measured?</v>
      </c>
      <c r="C34" s="67"/>
      <c r="D34" s="236" t="s">
        <v>1113</v>
      </c>
      <c r="E34" s="262">
        <v>0</v>
      </c>
      <c r="F34" s="940">
        <f>IF('7 - Wellness'!E28="No",0,1)</f>
        <v>1</v>
      </c>
      <c r="G34" s="939"/>
      <c r="H34" s="262">
        <v>1</v>
      </c>
      <c r="I34" s="236" t="s">
        <v>1112</v>
      </c>
      <c r="J34" s="20"/>
      <c r="K34" s="20"/>
      <c r="L34" s="273"/>
      <c r="M34" s="274"/>
      <c r="N34" s="275" t="s">
        <v>900</v>
      </c>
      <c r="O34" s="276"/>
      <c r="P34" s="276"/>
      <c r="Q34" s="276"/>
      <c r="R34" s="277"/>
      <c r="S34" s="277"/>
      <c r="T34" s="277"/>
      <c r="U34" s="277"/>
      <c r="V34" s="278"/>
      <c r="W34" s="279"/>
      <c r="X34" s="239"/>
      <c r="Y34" s="239"/>
      <c r="Z34" s="239"/>
      <c r="AA34" s="239"/>
      <c r="AB34" s="239"/>
      <c r="AC34" s="239"/>
      <c r="AD34" s="239"/>
      <c r="AE34" s="239"/>
      <c r="AF34" s="239"/>
      <c r="AG34" s="239"/>
      <c r="AH34" s="239"/>
      <c r="AI34" s="239"/>
      <c r="AJ34" s="239"/>
      <c r="AK34" s="239"/>
    </row>
    <row r="35" spans="1:37" s="593" customFormat="1" ht="15.75" customHeight="1">
      <c r="A35" s="67"/>
      <c r="B35" s="67" t="str">
        <f>Summary!E66</f>
        <v>Materials with health certifications</v>
      </c>
      <c r="C35" s="67"/>
      <c r="D35" s="236">
        <v>0</v>
      </c>
      <c r="E35" s="262">
        <v>0</v>
      </c>
      <c r="F35" s="940">
        <f>Summary!F66</f>
        <v>0</v>
      </c>
      <c r="G35" s="939"/>
      <c r="H35" s="262">
        <v>10</v>
      </c>
      <c r="I35" s="236" t="s">
        <v>901</v>
      </c>
      <c r="J35" s="308"/>
      <c r="K35" s="308"/>
      <c r="L35" s="379"/>
      <c r="M35" s="280"/>
      <c r="N35" s="281"/>
      <c r="O35" s="282"/>
      <c r="P35" s="282" t="s">
        <v>902</v>
      </c>
      <c r="Q35" s="281"/>
      <c r="R35" s="281"/>
      <c r="S35" s="283"/>
      <c r="T35" s="283"/>
      <c r="U35" s="283"/>
      <c r="V35" s="284"/>
      <c r="W35" s="279"/>
      <c r="X35" s="239"/>
      <c r="Y35" s="239"/>
      <c r="Z35" s="239"/>
      <c r="AA35" s="239"/>
      <c r="AB35" s="239"/>
      <c r="AC35" s="239"/>
      <c r="AD35" s="239"/>
      <c r="AE35" s="239"/>
      <c r="AF35" s="239"/>
      <c r="AG35" s="239"/>
      <c r="AH35" s="239"/>
      <c r="AI35" s="239"/>
      <c r="AJ35" s="239"/>
      <c r="AK35" s="239"/>
    </row>
    <row r="36" spans="1:37" ht="15.75" customHeight="1">
      <c r="A36" s="67"/>
      <c r="B36" s="67" t="str">
        <f>Summary!E67</f>
        <v>Checmicals of concern avoided</v>
      </c>
      <c r="C36" s="67"/>
      <c r="D36" s="236">
        <v>0</v>
      </c>
      <c r="E36" s="262">
        <v>0</v>
      </c>
      <c r="F36" s="940">
        <f>Summary!F67</f>
        <v>0</v>
      </c>
      <c r="G36" s="939"/>
      <c r="H36" s="262">
        <v>10</v>
      </c>
      <c r="I36" s="236" t="s">
        <v>901</v>
      </c>
      <c r="J36" s="20"/>
      <c r="K36" s="20"/>
      <c r="L36" s="273"/>
      <c r="M36" s="285"/>
      <c r="N36" s="286"/>
      <c r="O36" s="287"/>
      <c r="P36" s="287" t="s">
        <v>904</v>
      </c>
      <c r="Q36" s="287" t="s">
        <v>905</v>
      </c>
      <c r="R36" s="287" t="s">
        <v>906</v>
      </c>
      <c r="S36" s="288"/>
      <c r="T36" s="289" t="s">
        <v>39</v>
      </c>
      <c r="U36" s="290"/>
      <c r="V36" s="291"/>
      <c r="W36" s="279"/>
      <c r="X36" s="239"/>
      <c r="Y36" s="239"/>
      <c r="Z36" s="239"/>
      <c r="AA36" s="239"/>
      <c r="AB36" s="239"/>
      <c r="AC36" s="239"/>
      <c r="AD36" s="239"/>
      <c r="AE36" s="239"/>
      <c r="AF36" s="239"/>
      <c r="AG36" s="239"/>
      <c r="AH36" s="239"/>
      <c r="AI36" s="239"/>
      <c r="AJ36" s="239"/>
      <c r="AK36" s="239"/>
    </row>
    <row r="37" spans="1:37" ht="15.75" customHeight="1">
      <c r="A37" s="938" t="s">
        <v>903</v>
      </c>
      <c r="B37" s="939"/>
      <c r="C37" s="357"/>
      <c r="D37" s="235"/>
      <c r="E37" s="257"/>
      <c r="F37" s="257"/>
      <c r="G37" s="257"/>
      <c r="H37" s="257"/>
      <c r="I37" s="236"/>
      <c r="J37" s="20"/>
      <c r="K37" s="20"/>
      <c r="L37" s="273"/>
      <c r="M37" s="285"/>
      <c r="N37" s="292" t="s">
        <v>907</v>
      </c>
      <c r="O37" s="293"/>
      <c r="P37" s="293">
        <f>Summary!F10</f>
        <v>125125</v>
      </c>
      <c r="Q37" s="293">
        <f>Summary!F53*Introduction!F12</f>
        <v>151405.05599999998</v>
      </c>
      <c r="R37" s="293">
        <f>'8 - Resources'!E8*(1-0.5*'9 - Change'!E7)</f>
        <v>435412.44999999995</v>
      </c>
      <c r="S37" s="290"/>
      <c r="T37" s="294">
        <f t="shared" ref="T37:T41" si="0">SUM(P37:R37)</f>
        <v>711942.50599999994</v>
      </c>
      <c r="U37" s="290"/>
      <c r="V37" s="291"/>
      <c r="W37" s="279"/>
      <c r="X37" s="239"/>
      <c r="Y37" s="239"/>
      <c r="Z37" s="239"/>
      <c r="AA37" s="239"/>
      <c r="AB37" s="239"/>
      <c r="AC37" s="239"/>
      <c r="AD37" s="239"/>
      <c r="AE37" s="239"/>
      <c r="AF37" s="239"/>
      <c r="AG37" s="239"/>
      <c r="AH37" s="239"/>
      <c r="AI37" s="239"/>
      <c r="AJ37" s="239"/>
      <c r="AK37" s="239"/>
    </row>
    <row r="38" spans="1:37" ht="15.75" customHeight="1">
      <c r="A38" s="67"/>
      <c r="B38" s="20" t="s">
        <v>854</v>
      </c>
      <c r="C38" s="308"/>
      <c r="D38" s="259">
        <v>0</v>
      </c>
      <c r="E38" s="255">
        <v>0</v>
      </c>
      <c r="F38" s="941">
        <f>Summary!F79</f>
        <v>1</v>
      </c>
      <c r="G38" s="939"/>
      <c r="H38" s="255">
        <v>1</v>
      </c>
      <c r="I38" s="259">
        <v>1</v>
      </c>
      <c r="J38" s="20"/>
      <c r="K38" s="20"/>
      <c r="L38" s="273"/>
      <c r="M38" s="285"/>
      <c r="N38" s="292" t="s">
        <v>908</v>
      </c>
      <c r="O38" s="293"/>
      <c r="P38" s="293">
        <f t="shared" ref="P38:Q38" si="1">P37*20</f>
        <v>2502500</v>
      </c>
      <c r="Q38" s="293">
        <f t="shared" si="1"/>
        <v>3028101.1199999996</v>
      </c>
      <c r="R38" s="293">
        <f t="shared" ref="R38:R41" si="2">R37</f>
        <v>435412.44999999995</v>
      </c>
      <c r="S38" s="290"/>
      <c r="T38" s="294">
        <f t="shared" si="0"/>
        <v>5966013.5699999994</v>
      </c>
      <c r="U38" s="290"/>
      <c r="V38" s="291"/>
      <c r="W38" s="279"/>
      <c r="X38" s="239"/>
      <c r="Y38" s="239"/>
      <c r="Z38" s="239"/>
      <c r="AA38" s="239"/>
      <c r="AB38" s="239"/>
      <c r="AC38" s="239"/>
      <c r="AD38" s="239"/>
      <c r="AE38" s="239"/>
      <c r="AF38" s="239"/>
      <c r="AG38" s="239"/>
      <c r="AH38" s="239"/>
      <c r="AI38" s="239"/>
      <c r="AJ38" s="239"/>
      <c r="AK38" s="239"/>
    </row>
    <row r="39" spans="1:37" ht="15.75" customHeight="1">
      <c r="A39" s="67"/>
      <c r="B39" s="67" t="str">
        <f>Summary!E72</f>
        <v>Life cycle analysis conducted - Y/N</v>
      </c>
      <c r="C39" s="67"/>
      <c r="D39" s="236" t="s">
        <v>1113</v>
      </c>
      <c r="E39" s="262">
        <v>0</v>
      </c>
      <c r="F39" s="940">
        <f>IF(Summary!F72="No",0,1)</f>
        <v>1</v>
      </c>
      <c r="G39" s="939"/>
      <c r="H39" s="262">
        <v>1</v>
      </c>
      <c r="I39" s="236" t="s">
        <v>1112</v>
      </c>
      <c r="J39" s="20"/>
      <c r="K39" s="20"/>
      <c r="L39" s="273"/>
      <c r="M39" s="285"/>
      <c r="N39" s="292" t="s">
        <v>909</v>
      </c>
      <c r="O39" s="293"/>
      <c r="P39" s="293">
        <f t="shared" ref="P39:Q39" si="3">P37*100</f>
        <v>12512500</v>
      </c>
      <c r="Q39" s="293">
        <f t="shared" si="3"/>
        <v>15140505.599999998</v>
      </c>
      <c r="R39" s="293">
        <f t="shared" si="2"/>
        <v>435412.44999999995</v>
      </c>
      <c r="S39" s="290"/>
      <c r="T39" s="294">
        <f t="shared" si="0"/>
        <v>28088418.049999997</v>
      </c>
      <c r="U39" s="290"/>
      <c r="V39" s="291"/>
      <c r="W39" s="279"/>
      <c r="X39" s="239"/>
      <c r="Y39" s="239"/>
      <c r="Z39" s="239"/>
      <c r="AA39" s="239"/>
      <c r="AB39" s="239"/>
      <c r="AC39" s="239"/>
      <c r="AD39" s="239"/>
      <c r="AE39" s="239"/>
      <c r="AF39" s="239"/>
      <c r="AG39" s="239"/>
      <c r="AH39" s="239"/>
      <c r="AI39" s="239"/>
      <c r="AJ39" s="239"/>
      <c r="AK39" s="239"/>
    </row>
    <row r="40" spans="1:37" ht="15.75" customHeight="1">
      <c r="A40" s="67"/>
      <c r="B40" s="67" t="str">
        <f>Summary!E73</f>
        <v xml:space="preserve">Number of EPDs Collected </v>
      </c>
      <c r="C40" s="67"/>
      <c r="D40" s="236">
        <v>0</v>
      </c>
      <c r="E40" s="262">
        <v>0</v>
      </c>
      <c r="F40" s="940">
        <f>Summary!F73</f>
        <v>0</v>
      </c>
      <c r="G40" s="939"/>
      <c r="H40" s="262">
        <v>10</v>
      </c>
      <c r="I40" s="236" t="s">
        <v>901</v>
      </c>
      <c r="J40" s="20"/>
      <c r="K40" s="20"/>
      <c r="L40" s="273"/>
      <c r="M40" s="285"/>
      <c r="N40" s="292" t="s">
        <v>703</v>
      </c>
      <c r="O40" s="293"/>
      <c r="P40" s="293">
        <f t="shared" ref="P40:Q40" si="4">P37*200</f>
        <v>25025000</v>
      </c>
      <c r="Q40" s="293">
        <f t="shared" si="4"/>
        <v>30281011.199999996</v>
      </c>
      <c r="R40" s="293">
        <f t="shared" si="2"/>
        <v>435412.44999999995</v>
      </c>
      <c r="S40" s="290"/>
      <c r="T40" s="294">
        <f t="shared" si="0"/>
        <v>55741423.649999999</v>
      </c>
      <c r="U40" s="290"/>
      <c r="V40" s="291"/>
      <c r="W40" s="279"/>
      <c r="X40" s="239"/>
      <c r="Y40" s="239"/>
      <c r="Z40" s="239"/>
      <c r="AA40" s="239"/>
      <c r="AB40" s="239"/>
      <c r="AC40" s="239"/>
      <c r="AD40" s="239"/>
      <c r="AE40" s="239"/>
      <c r="AF40" s="239"/>
      <c r="AG40" s="239"/>
      <c r="AH40" s="239"/>
      <c r="AI40" s="239"/>
      <c r="AJ40" s="239"/>
      <c r="AK40" s="239"/>
    </row>
    <row r="41" spans="1:37" ht="15.75" customHeight="1">
      <c r="A41" s="67"/>
      <c r="B41" s="67" t="str">
        <f>Summary!E74</f>
        <v>% of construction waste diverted</v>
      </c>
      <c r="C41" s="67"/>
      <c r="D41" s="259">
        <v>0</v>
      </c>
      <c r="E41" s="255">
        <v>0</v>
      </c>
      <c r="F41" s="941">
        <f>Summary!F74</f>
        <v>0.9</v>
      </c>
      <c r="G41" s="939"/>
      <c r="H41" s="255">
        <v>1</v>
      </c>
      <c r="I41" s="259">
        <v>1</v>
      </c>
      <c r="J41" s="20"/>
      <c r="K41" s="20"/>
      <c r="L41" s="273"/>
      <c r="M41" s="295" t="s">
        <v>910</v>
      </c>
      <c r="N41" s="292">
        <f>'9 - Change'!E18</f>
        <v>200</v>
      </c>
      <c r="O41" s="292"/>
      <c r="P41" s="293">
        <f>$N$41*P37</f>
        <v>25025000</v>
      </c>
      <c r="Q41" s="293">
        <f>$N$41*Q37</f>
        <v>30281011.199999996</v>
      </c>
      <c r="R41" s="293">
        <f t="shared" si="2"/>
        <v>435412.44999999995</v>
      </c>
      <c r="S41" s="293"/>
      <c r="T41" s="294">
        <f t="shared" si="0"/>
        <v>55741423.649999999</v>
      </c>
      <c r="U41" s="290"/>
      <c r="V41" s="291"/>
      <c r="W41" s="279"/>
      <c r="X41" s="239"/>
      <c r="Y41" s="239"/>
      <c r="Z41" s="239"/>
      <c r="AA41" s="239"/>
      <c r="AB41" s="239"/>
      <c r="AC41" s="239"/>
      <c r="AD41" s="239"/>
      <c r="AE41" s="239"/>
      <c r="AF41" s="239"/>
      <c r="AG41" s="239"/>
      <c r="AH41" s="239"/>
      <c r="AI41" s="239"/>
      <c r="AJ41" s="239"/>
      <c r="AK41" s="239"/>
    </row>
    <row r="42" spans="1:37" ht="15.75" customHeight="1">
      <c r="A42" s="67"/>
      <c r="B42" s="67" t="str">
        <f>Summary!E75</f>
        <v xml:space="preserve">% of recycled content of building materials </v>
      </c>
      <c r="C42" s="67"/>
      <c r="D42" s="235"/>
      <c r="E42" s="252">
        <v>0</v>
      </c>
      <c r="F42" s="941">
        <f>Summary!F75</f>
        <v>0.88888888888888884</v>
      </c>
      <c r="G42" s="939"/>
      <c r="H42" s="252">
        <v>1</v>
      </c>
      <c r="I42" s="236"/>
      <c r="J42" s="20"/>
      <c r="K42" s="20"/>
      <c r="L42" s="273"/>
      <c r="M42" s="285"/>
      <c r="N42" s="292"/>
      <c r="O42" s="292"/>
      <c r="P42" s="292"/>
      <c r="Q42" s="292"/>
      <c r="R42" s="292"/>
      <c r="S42" s="292"/>
      <c r="T42" s="296"/>
      <c r="U42" s="290"/>
      <c r="V42" s="291"/>
      <c r="W42" s="279"/>
      <c r="X42" s="239"/>
      <c r="Y42" s="239"/>
      <c r="Z42" s="239"/>
      <c r="AA42" s="239"/>
      <c r="AB42" s="239"/>
      <c r="AC42" s="239"/>
      <c r="AD42" s="239"/>
      <c r="AE42" s="239"/>
      <c r="AF42" s="239"/>
      <c r="AG42" s="239"/>
      <c r="AH42" s="239"/>
      <c r="AI42" s="239"/>
      <c r="AJ42" s="239"/>
      <c r="AK42" s="239"/>
    </row>
    <row r="43" spans="1:37" ht="15.75" customHeight="1">
      <c r="A43" s="67"/>
      <c r="B43" s="67" t="str">
        <f>Summary!E76</f>
        <v>% of regional materials</v>
      </c>
      <c r="C43" s="67"/>
      <c r="D43" s="259">
        <v>0</v>
      </c>
      <c r="E43" s="255">
        <v>0</v>
      </c>
      <c r="F43" s="941">
        <f>Summary!F76</f>
        <v>0.5</v>
      </c>
      <c r="G43" s="939"/>
      <c r="H43" s="255">
        <v>1</v>
      </c>
      <c r="I43" s="259">
        <v>1</v>
      </c>
      <c r="J43" s="20"/>
      <c r="K43" s="20"/>
      <c r="L43" s="273"/>
      <c r="M43" s="285"/>
      <c r="N43" s="292"/>
      <c r="O43" s="292"/>
      <c r="P43" s="292"/>
      <c r="Q43" s="292"/>
      <c r="R43" s="292"/>
      <c r="S43" s="292"/>
      <c r="T43" s="296"/>
      <c r="U43" s="290"/>
      <c r="V43" s="291"/>
      <c r="W43" s="279"/>
      <c r="X43" s="239"/>
      <c r="Y43" s="239"/>
      <c r="Z43" s="239"/>
      <c r="AA43" s="239"/>
      <c r="AB43" s="239"/>
      <c r="AC43" s="239"/>
      <c r="AD43" s="239"/>
      <c r="AE43" s="239"/>
      <c r="AF43" s="239"/>
      <c r="AG43" s="239"/>
      <c r="AH43" s="239"/>
      <c r="AI43" s="239"/>
      <c r="AJ43" s="239"/>
      <c r="AK43" s="239"/>
    </row>
    <row r="44" spans="1:37" ht="15.75" customHeight="1">
      <c r="A44" s="67"/>
      <c r="B44" s="67" t="str">
        <f>Summary!E77</f>
        <v>% of installed wood that is FSC Certified</v>
      </c>
      <c r="C44" s="67"/>
      <c r="D44" s="259">
        <v>0</v>
      </c>
      <c r="E44" s="255">
        <v>0</v>
      </c>
      <c r="F44" s="941">
        <f>Summary!F77</f>
        <v>0.66666666666666663</v>
      </c>
      <c r="G44" s="939"/>
      <c r="H44" s="255">
        <v>1</v>
      </c>
      <c r="I44" s="259">
        <v>1</v>
      </c>
      <c r="J44" s="20"/>
      <c r="K44" s="20"/>
      <c r="L44" s="273"/>
      <c r="M44" s="285"/>
      <c r="N44" s="286"/>
      <c r="O44" s="287"/>
      <c r="P44" s="287" t="s">
        <v>904</v>
      </c>
      <c r="Q44" s="287" t="s">
        <v>905</v>
      </c>
      <c r="R44" s="287" t="s">
        <v>906</v>
      </c>
      <c r="S44" s="288"/>
      <c r="T44" s="289" t="s">
        <v>39</v>
      </c>
      <c r="U44" s="290"/>
      <c r="V44" s="291"/>
      <c r="W44" s="279"/>
      <c r="X44" s="239"/>
      <c r="Y44" s="239"/>
      <c r="Z44" s="239"/>
      <c r="AA44" s="239"/>
      <c r="AB44" s="239"/>
      <c r="AC44" s="239"/>
      <c r="AD44" s="239"/>
      <c r="AE44" s="239"/>
      <c r="AF44" s="239"/>
      <c r="AG44" s="239"/>
      <c r="AH44" s="239"/>
      <c r="AI44" s="239"/>
      <c r="AJ44" s="239"/>
      <c r="AK44" s="239"/>
    </row>
    <row r="45" spans="1:37" ht="15.75" customHeight="1">
      <c r="A45" s="938" t="s">
        <v>911</v>
      </c>
      <c r="B45" s="939"/>
      <c r="C45" s="357"/>
      <c r="D45" s="236"/>
      <c r="E45" s="263"/>
      <c r="F45" s="264"/>
      <c r="G45" s="297"/>
      <c r="H45" s="297"/>
      <c r="I45" s="236"/>
      <c r="J45" s="20"/>
      <c r="K45" s="20"/>
      <c r="L45" s="273"/>
      <c r="M45" s="285"/>
      <c r="N45" s="292" t="s">
        <v>907</v>
      </c>
      <c r="O45" s="298"/>
      <c r="P45" s="298">
        <f t="shared" ref="P45:R48" si="5">P37/$T37</f>
        <v>0.17575155148834451</v>
      </c>
      <c r="Q45" s="298">
        <f t="shared" si="5"/>
        <v>0.21266472323819924</v>
      </c>
      <c r="R45" s="298">
        <f t="shared" si="5"/>
        <v>0.61158372527345628</v>
      </c>
      <c r="S45" s="290"/>
      <c r="T45" s="299">
        <f t="shared" ref="T45:T48" si="6">SUM(P45:R45)</f>
        <v>1</v>
      </c>
      <c r="U45" s="290"/>
      <c r="V45" s="291"/>
      <c r="W45" s="279"/>
      <c r="X45" s="239"/>
      <c r="Y45" s="239"/>
      <c r="Z45" s="239"/>
      <c r="AA45" s="239"/>
      <c r="AB45" s="239"/>
      <c r="AC45" s="239"/>
      <c r="AD45" s="239"/>
      <c r="AE45" s="239"/>
      <c r="AF45" s="239"/>
      <c r="AG45" s="239"/>
      <c r="AH45" s="239"/>
      <c r="AI45" s="239"/>
      <c r="AJ45" s="239"/>
      <c r="AK45" s="239"/>
    </row>
    <row r="46" spans="1:37" ht="15.75" customHeight="1">
      <c r="A46" s="67"/>
      <c r="B46" s="67" t="str">
        <f>Summary!E79</f>
        <v>% of reused floor area</v>
      </c>
      <c r="C46" s="67"/>
      <c r="D46" s="259">
        <v>0</v>
      </c>
      <c r="E46" s="255">
        <v>0</v>
      </c>
      <c r="F46" s="945">
        <f>Summary!F79</f>
        <v>1</v>
      </c>
      <c r="G46" s="946"/>
      <c r="H46" s="255">
        <v>1</v>
      </c>
      <c r="I46" s="259">
        <v>1</v>
      </c>
      <c r="J46" s="20"/>
      <c r="K46" s="20"/>
      <c r="L46" s="273"/>
      <c r="M46" s="285"/>
      <c r="N46" s="292" t="s">
        <v>908</v>
      </c>
      <c r="O46" s="298"/>
      <c r="P46" s="298">
        <f t="shared" si="5"/>
        <v>0.4194593208074115</v>
      </c>
      <c r="Q46" s="298">
        <f t="shared" si="5"/>
        <v>0.50755853711542931</v>
      </c>
      <c r="R46" s="298">
        <f t="shared" si="5"/>
        <v>7.2982142077159237E-2</v>
      </c>
      <c r="S46" s="290"/>
      <c r="T46" s="299">
        <f t="shared" si="6"/>
        <v>1</v>
      </c>
      <c r="U46" s="290"/>
      <c r="V46" s="291"/>
      <c r="W46" s="279"/>
      <c r="X46" s="239"/>
      <c r="Y46" s="239"/>
      <c r="Z46" s="239"/>
      <c r="AA46" s="239"/>
      <c r="AB46" s="239"/>
      <c r="AC46" s="239"/>
      <c r="AD46" s="239"/>
      <c r="AE46" s="239"/>
      <c r="AF46" s="239"/>
      <c r="AG46" s="239"/>
      <c r="AH46" s="239"/>
      <c r="AI46" s="239"/>
      <c r="AJ46" s="239"/>
      <c r="AK46" s="239"/>
    </row>
    <row r="47" spans="1:37" ht="15.75" customHeight="1">
      <c r="A47" s="67"/>
      <c r="B47" s="67" t="str">
        <f>Summary!E80</f>
        <v>Functionality without power (relative score)</v>
      </c>
      <c r="C47" s="67"/>
      <c r="D47" s="236">
        <v>0</v>
      </c>
      <c r="E47" s="247">
        <v>0</v>
      </c>
      <c r="F47" s="944">
        <f>Summary!F80</f>
        <v>2</v>
      </c>
      <c r="G47" s="939"/>
      <c r="H47" s="247">
        <v>4</v>
      </c>
      <c r="I47" s="236">
        <v>4</v>
      </c>
      <c r="J47" s="20"/>
      <c r="K47" s="20"/>
      <c r="L47" s="273"/>
      <c r="M47" s="285"/>
      <c r="N47" s="292" t="s">
        <v>909</v>
      </c>
      <c r="O47" s="298"/>
      <c r="P47" s="298">
        <f t="shared" si="5"/>
        <v>0.44546830575244878</v>
      </c>
      <c r="Q47" s="298">
        <f t="shared" si="5"/>
        <v>0.53903020002936763</v>
      </c>
      <c r="R47" s="298">
        <f t="shared" si="5"/>
        <v>1.5501494218183641E-2</v>
      </c>
      <c r="S47" s="290"/>
      <c r="T47" s="299">
        <f t="shared" si="6"/>
        <v>1</v>
      </c>
      <c r="U47" s="290"/>
      <c r="V47" s="291"/>
      <c r="W47" s="279"/>
      <c r="X47" s="239"/>
      <c r="Y47" s="239"/>
      <c r="Z47" s="239"/>
      <c r="AA47" s="239"/>
      <c r="AB47" s="239"/>
      <c r="AC47" s="239"/>
      <c r="AD47" s="239"/>
      <c r="AE47" s="239"/>
      <c r="AF47" s="239"/>
      <c r="AG47" s="239"/>
      <c r="AH47" s="239"/>
      <c r="AI47" s="239"/>
      <c r="AJ47" s="239"/>
      <c r="AK47" s="239"/>
    </row>
    <row r="48" spans="1:37" ht="15.75" customHeight="1">
      <c r="A48" s="236"/>
      <c r="B48" s="67" t="str">
        <f>Summary!E81</f>
        <v>Percent onsite generation</v>
      </c>
      <c r="C48" s="67"/>
      <c r="D48" s="259">
        <v>0</v>
      </c>
      <c r="E48" s="252">
        <v>0</v>
      </c>
      <c r="F48" s="943">
        <f>Summary!F81</f>
        <v>0.37090909090909097</v>
      </c>
      <c r="G48" s="939"/>
      <c r="H48" s="252">
        <v>1</v>
      </c>
      <c r="I48" s="259">
        <v>1</v>
      </c>
      <c r="J48" s="20"/>
      <c r="K48" s="20"/>
      <c r="L48" s="273"/>
      <c r="M48" s="285"/>
      <c r="N48" s="292" t="s">
        <v>703</v>
      </c>
      <c r="O48" s="298"/>
      <c r="P48" s="298">
        <f t="shared" si="5"/>
        <v>0.44894798807313924</v>
      </c>
      <c r="Q48" s="298">
        <f t="shared" si="5"/>
        <v>0.54324072148092684</v>
      </c>
      <c r="R48" s="298">
        <f t="shared" si="5"/>
        <v>7.8112904459339185E-3</v>
      </c>
      <c r="S48" s="290"/>
      <c r="T48" s="299">
        <f t="shared" si="6"/>
        <v>0.99999999999999989</v>
      </c>
      <c r="U48" s="290"/>
      <c r="V48" s="291"/>
      <c r="W48" s="279"/>
      <c r="X48" s="239"/>
      <c r="Y48" s="239"/>
      <c r="Z48" s="239"/>
      <c r="AA48" s="239"/>
      <c r="AB48" s="239"/>
      <c r="AC48" s="239"/>
      <c r="AD48" s="239"/>
      <c r="AE48" s="239"/>
      <c r="AF48" s="239"/>
      <c r="AG48" s="239"/>
      <c r="AH48" s="239"/>
      <c r="AI48" s="239"/>
      <c r="AJ48" s="239"/>
      <c r="AK48" s="239"/>
    </row>
    <row r="49" spans="1:37" ht="15.75" customHeight="1">
      <c r="A49" s="236"/>
      <c r="B49" s="67" t="str">
        <f>Summary!E83</f>
        <v xml:space="preserve">Building design lifespan </v>
      </c>
      <c r="C49" s="67"/>
      <c r="D49" s="236">
        <v>30</v>
      </c>
      <c r="E49" s="247">
        <v>30</v>
      </c>
      <c r="F49" s="944">
        <f>Summary!F83</f>
        <v>200</v>
      </c>
      <c r="G49" s="939"/>
      <c r="H49" s="247">
        <v>200</v>
      </c>
      <c r="I49" s="236">
        <v>200</v>
      </c>
      <c r="J49" s="20"/>
      <c r="K49" s="20"/>
      <c r="L49" s="273"/>
      <c r="M49" s="295" t="s">
        <v>910</v>
      </c>
      <c r="N49" s="292">
        <f>N41</f>
        <v>200</v>
      </c>
      <c r="O49" s="292"/>
      <c r="P49" s="298">
        <f>P41/$T$41</f>
        <v>0.44894798807313924</v>
      </c>
      <c r="Q49" s="298">
        <f>Q41/$T$41</f>
        <v>0.54324072148092684</v>
      </c>
      <c r="R49" s="298">
        <f>R41/$T$41</f>
        <v>7.8112904459339185E-3</v>
      </c>
      <c r="S49" s="298"/>
      <c r="T49" s="301">
        <f>T41/$T$41</f>
        <v>1</v>
      </c>
      <c r="U49" s="290"/>
      <c r="V49" s="291"/>
      <c r="W49" s="279"/>
      <c r="X49" s="239"/>
      <c r="Y49" s="239"/>
      <c r="Z49" s="239"/>
      <c r="AA49" s="239"/>
      <c r="AB49" s="239"/>
      <c r="AC49" s="239"/>
      <c r="AD49" s="239"/>
      <c r="AE49" s="239"/>
      <c r="AF49" s="239"/>
      <c r="AG49" s="239"/>
      <c r="AH49" s="239"/>
      <c r="AI49" s="239"/>
      <c r="AJ49" s="239"/>
      <c r="AK49" s="239"/>
    </row>
    <row r="50" spans="1:37" ht="15.75" customHeight="1">
      <c r="A50" s="938" t="s">
        <v>912</v>
      </c>
      <c r="B50" s="939"/>
      <c r="C50" s="357"/>
      <c r="D50" s="236"/>
      <c r="E50" s="20"/>
      <c r="F50" s="20"/>
      <c r="G50" s="20"/>
      <c r="H50" s="20"/>
      <c r="I50" s="300"/>
      <c r="J50" s="20"/>
      <c r="K50" s="20"/>
      <c r="L50" s="273"/>
      <c r="M50" s="303"/>
      <c r="N50" s="303"/>
      <c r="O50" s="303"/>
      <c r="P50" s="303"/>
      <c r="Q50" s="303"/>
      <c r="R50" s="291"/>
      <c r="S50" s="291"/>
      <c r="T50" s="291"/>
      <c r="U50" s="291"/>
      <c r="V50" s="291"/>
      <c r="W50" s="279"/>
      <c r="X50" s="239"/>
      <c r="Y50" s="239"/>
      <c r="Z50" s="239"/>
      <c r="AA50" s="239"/>
      <c r="AB50" s="239"/>
      <c r="AC50" s="239"/>
      <c r="AD50" s="239"/>
      <c r="AE50" s="239"/>
      <c r="AF50" s="239"/>
      <c r="AG50" s="239"/>
      <c r="AH50" s="239"/>
      <c r="AI50" s="239"/>
      <c r="AJ50" s="239"/>
      <c r="AK50" s="239"/>
    </row>
    <row r="51" spans="1:37" ht="15.75" customHeight="1">
      <c r="A51" s="236"/>
      <c r="B51" s="302" t="str">
        <f>Summary!E85</f>
        <v xml:space="preserve"> Level of post occupancy evaluation</v>
      </c>
      <c r="C51" s="302"/>
      <c r="D51" s="259">
        <v>0</v>
      </c>
      <c r="E51" s="255">
        <v>0</v>
      </c>
      <c r="F51" s="941">
        <f>Summary!F85</f>
        <v>0.9</v>
      </c>
      <c r="G51" s="939"/>
      <c r="H51" s="255">
        <v>1</v>
      </c>
      <c r="I51" s="259">
        <v>1</v>
      </c>
      <c r="J51" s="20"/>
      <c r="K51" s="20"/>
      <c r="L51" s="273"/>
      <c r="M51" s="273"/>
      <c r="N51" s="273"/>
      <c r="O51" s="273"/>
      <c r="P51" s="273"/>
      <c r="Q51" s="273"/>
      <c r="R51" s="273"/>
      <c r="S51" s="273"/>
      <c r="T51" s="273"/>
      <c r="U51" s="273"/>
      <c r="V51" s="273"/>
      <c r="W51" s="273"/>
      <c r="X51" s="239"/>
      <c r="Y51" s="239"/>
      <c r="Z51" s="239"/>
      <c r="AA51" s="239"/>
      <c r="AB51" s="239"/>
      <c r="AC51" s="239"/>
      <c r="AD51" s="239"/>
      <c r="AE51" s="239"/>
      <c r="AF51" s="239"/>
      <c r="AG51" s="239"/>
      <c r="AH51" s="239"/>
      <c r="AI51" s="239"/>
      <c r="AJ51" s="239"/>
      <c r="AK51" s="239"/>
    </row>
    <row r="52" spans="1:37" ht="15.75" customHeight="1">
      <c r="A52" s="244"/>
      <c r="B52" s="302" t="str">
        <f>Summary!E86</f>
        <v xml:space="preserve"> Level of Knowledge distribution / transparency</v>
      </c>
      <c r="C52" s="302"/>
      <c r="D52" s="259">
        <v>0</v>
      </c>
      <c r="E52" s="255">
        <v>0</v>
      </c>
      <c r="F52" s="941">
        <f>Summary!F86</f>
        <v>0.75</v>
      </c>
      <c r="G52" s="939"/>
      <c r="H52" s="255">
        <v>1</v>
      </c>
      <c r="I52" s="259">
        <v>1</v>
      </c>
      <c r="J52" s="20"/>
      <c r="K52" s="67"/>
      <c r="L52" s="4"/>
      <c r="M52" s="304"/>
      <c r="N52" s="304"/>
      <c r="O52" s="304"/>
      <c r="P52" s="304"/>
      <c r="Q52" s="304"/>
      <c r="R52" s="304"/>
      <c r="S52" s="304"/>
      <c r="T52" s="304"/>
      <c r="U52" s="304"/>
      <c r="V52" s="304"/>
      <c r="W52" s="239"/>
      <c r="X52" s="239"/>
      <c r="Y52" s="239"/>
      <c r="Z52" s="239"/>
      <c r="AA52" s="239"/>
      <c r="AB52" s="239"/>
      <c r="AC52" s="239"/>
      <c r="AD52" s="239"/>
      <c r="AE52" s="239"/>
      <c r="AF52" s="239"/>
      <c r="AG52" s="239"/>
      <c r="AH52" s="239"/>
      <c r="AI52" s="239"/>
      <c r="AJ52" s="239"/>
      <c r="AK52" s="239"/>
    </row>
    <row r="53" spans="1:37" ht="15.75" customHeight="1">
      <c r="A53" s="236"/>
      <c r="B53" s="302" t="str">
        <f>Summary!E87</f>
        <v xml:space="preserve"> Level of Feedback (Ongoing discovery)</v>
      </c>
      <c r="C53" s="302"/>
      <c r="D53" s="236">
        <v>0</v>
      </c>
      <c r="E53" s="262">
        <v>0</v>
      </c>
      <c r="F53" s="940">
        <f>Summary!F87</f>
        <v>5</v>
      </c>
      <c r="G53" s="939"/>
      <c r="H53" s="262">
        <v>5</v>
      </c>
      <c r="I53" s="236">
        <v>5</v>
      </c>
      <c r="J53" s="20"/>
      <c r="K53" s="67"/>
      <c r="L53" s="4"/>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row>
    <row r="54" spans="1:37" ht="15.75" customHeight="1">
      <c r="A54" s="236"/>
      <c r="B54" s="236"/>
      <c r="C54" s="236"/>
      <c r="D54" s="236"/>
      <c r="E54" s="20">
        <f>Summary!F97</f>
        <v>0</v>
      </c>
      <c r="F54" s="20"/>
      <c r="G54" s="20"/>
      <c r="H54" s="20">
        <f>Summary!H97</f>
        <v>0</v>
      </c>
      <c r="I54" s="243"/>
      <c r="J54" s="20"/>
      <c r="K54" s="67"/>
      <c r="L54" s="4"/>
      <c r="M54" s="239"/>
      <c r="N54" s="239"/>
      <c r="O54" s="239"/>
      <c r="P54" s="239"/>
      <c r="Q54" s="239"/>
      <c r="R54" s="239"/>
      <c r="S54" s="239"/>
      <c r="T54" s="239"/>
      <c r="U54" s="239"/>
      <c r="V54" s="239"/>
      <c r="W54" s="239"/>
      <c r="X54" s="239"/>
      <c r="Y54" s="239"/>
      <c r="Z54" s="239"/>
      <c r="AA54" s="239"/>
      <c r="AB54" s="239"/>
      <c r="AC54" s="239"/>
      <c r="AD54" s="239"/>
      <c r="AE54" s="239"/>
      <c r="AF54" s="239"/>
      <c r="AG54" s="239"/>
      <c r="AH54" s="239"/>
      <c r="AI54" s="239"/>
      <c r="AJ54" s="239"/>
      <c r="AK54" s="239"/>
    </row>
    <row r="55" spans="1:37" ht="15.75" customHeight="1">
      <c r="A55" s="236"/>
      <c r="B55" s="236"/>
      <c r="C55" s="236"/>
      <c r="D55" s="236"/>
      <c r="E55" s="20">
        <f>Summary!F98</f>
        <v>0</v>
      </c>
      <c r="F55" s="20"/>
      <c r="G55" s="20"/>
      <c r="H55" s="20">
        <f>Summary!H98</f>
        <v>0</v>
      </c>
      <c r="I55" s="243"/>
      <c r="J55" s="20"/>
      <c r="K55" s="67"/>
      <c r="L55" s="4"/>
      <c r="M55" s="239"/>
      <c r="N55" s="239"/>
      <c r="O55" s="239"/>
      <c r="P55" s="239"/>
      <c r="Q55" s="239"/>
      <c r="R55" s="239"/>
      <c r="S55" s="239"/>
      <c r="T55" s="239"/>
      <c r="U55" s="239"/>
      <c r="V55" s="239"/>
      <c r="W55" s="239"/>
      <c r="X55" s="239"/>
      <c r="Y55" s="239"/>
      <c r="Z55" s="239"/>
      <c r="AA55" s="239"/>
      <c r="AB55" s="239"/>
      <c r="AC55" s="239"/>
      <c r="AD55" s="239"/>
      <c r="AE55" s="239"/>
      <c r="AF55" s="239"/>
      <c r="AG55" s="239"/>
      <c r="AH55" s="239"/>
      <c r="AI55" s="239"/>
      <c r="AJ55" s="239"/>
      <c r="AK55" s="239"/>
    </row>
    <row r="56" spans="1:37" ht="15.75" customHeight="1">
      <c r="A56" s="236"/>
      <c r="B56" s="236"/>
      <c r="C56" s="236"/>
      <c r="D56" s="236"/>
      <c r="E56" s="67">
        <f>Summary!F99</f>
        <v>0</v>
      </c>
      <c r="F56" s="67"/>
      <c r="G56" s="67"/>
      <c r="H56" s="67">
        <f>Summary!H99</f>
        <v>0</v>
      </c>
      <c r="I56" s="243"/>
      <c r="J56" s="67"/>
      <c r="K56" s="67"/>
      <c r="L56" s="4"/>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row>
    <row r="57" spans="1:37" ht="15.75" customHeight="1">
      <c r="A57" s="305"/>
      <c r="B57" s="305"/>
      <c r="C57" s="305"/>
      <c r="D57" s="305"/>
      <c r="E57" s="21">
        <f>Summary!F100</f>
        <v>0</v>
      </c>
      <c r="F57" s="21"/>
      <c r="G57" s="21"/>
      <c r="H57" s="21">
        <f>Summary!H100</f>
        <v>0</v>
      </c>
      <c r="I57" s="240"/>
      <c r="J57" s="21"/>
      <c r="K57" s="21"/>
      <c r="L57" s="4"/>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row>
    <row r="58" spans="1:37" ht="15.75" customHeight="1">
      <c r="A58" s="239"/>
      <c r="B58" s="239"/>
      <c r="C58" s="239"/>
      <c r="D58" s="240"/>
      <c r="E58" s="306"/>
      <c r="F58" s="306"/>
      <c r="G58" s="306"/>
      <c r="H58" s="306"/>
      <c r="I58" s="240"/>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row>
    <row r="59" spans="1:37" ht="15.75" customHeight="1">
      <c r="A59" s="239"/>
      <c r="B59" s="239"/>
      <c r="C59" s="239"/>
      <c r="D59" s="240"/>
      <c r="E59" s="306"/>
      <c r="F59" s="306"/>
      <c r="G59" s="306"/>
      <c r="H59" s="306"/>
      <c r="I59" s="240"/>
      <c r="J59" s="239"/>
      <c r="K59" s="239"/>
      <c r="L59" s="239"/>
      <c r="M59" s="240"/>
      <c r="N59" s="240"/>
      <c r="O59" s="240"/>
      <c r="P59" s="240"/>
      <c r="Q59" s="240"/>
      <c r="R59" s="239"/>
      <c r="S59" s="239"/>
      <c r="T59" s="239"/>
      <c r="U59" s="239"/>
      <c r="V59" s="239"/>
      <c r="W59" s="239"/>
      <c r="X59" s="239"/>
      <c r="Y59" s="239"/>
      <c r="Z59" s="239"/>
      <c r="AA59" s="239"/>
      <c r="AB59" s="239"/>
      <c r="AC59" s="239"/>
      <c r="AD59" s="239"/>
      <c r="AE59" s="239"/>
      <c r="AF59" s="239"/>
      <c r="AG59" s="239"/>
      <c r="AH59" s="239"/>
      <c r="AI59" s="239"/>
      <c r="AJ59" s="239"/>
      <c r="AK59" s="239"/>
    </row>
    <row r="60" spans="1:37" ht="15.75" customHeight="1">
      <c r="A60" s="239"/>
      <c r="B60" s="239"/>
      <c r="C60" s="239"/>
      <c r="D60" s="240"/>
      <c r="E60" s="306"/>
      <c r="F60" s="306"/>
      <c r="G60" s="306"/>
      <c r="H60" s="306"/>
      <c r="I60" s="240"/>
      <c r="J60" s="239"/>
      <c r="K60" s="239"/>
      <c r="L60" s="239"/>
      <c r="M60" s="240"/>
      <c r="N60" s="240"/>
      <c r="O60" s="240"/>
      <c r="P60" s="240"/>
      <c r="Q60" s="240"/>
      <c r="R60" s="239"/>
      <c r="S60" s="239"/>
      <c r="T60" s="239"/>
      <c r="U60" s="239"/>
      <c r="V60" s="239"/>
      <c r="W60" s="239"/>
      <c r="X60" s="239"/>
      <c r="Y60" s="239"/>
      <c r="Z60" s="239"/>
      <c r="AA60" s="239"/>
      <c r="AB60" s="239"/>
      <c r="AC60" s="239"/>
      <c r="AD60" s="239"/>
      <c r="AE60" s="239"/>
      <c r="AF60" s="239"/>
      <c r="AG60" s="239"/>
      <c r="AH60" s="239"/>
      <c r="AI60" s="239"/>
      <c r="AJ60" s="239"/>
      <c r="AK60" s="239"/>
    </row>
    <row r="61" spans="1:37" ht="15.75" customHeight="1">
      <c r="A61" s="239"/>
      <c r="B61" s="239"/>
      <c r="C61" s="239"/>
      <c r="D61" s="240"/>
      <c r="E61" s="306"/>
      <c r="F61" s="306"/>
      <c r="G61" s="306"/>
      <c r="H61" s="306"/>
      <c r="I61" s="240"/>
      <c r="J61" s="239"/>
      <c r="K61" s="239"/>
      <c r="L61" s="239"/>
      <c r="M61" s="240"/>
      <c r="N61" s="240"/>
      <c r="O61" s="240"/>
      <c r="P61" s="240"/>
      <c r="Q61" s="240"/>
      <c r="R61" s="239"/>
      <c r="S61" s="239"/>
      <c r="T61" s="239"/>
      <c r="U61" s="239"/>
      <c r="V61" s="239"/>
      <c r="W61" s="239"/>
      <c r="X61" s="239"/>
      <c r="Y61" s="239"/>
      <c r="Z61" s="239"/>
      <c r="AA61" s="239"/>
      <c r="AB61" s="239"/>
      <c r="AC61" s="239"/>
      <c r="AD61" s="239"/>
      <c r="AE61" s="239"/>
      <c r="AF61" s="239"/>
      <c r="AG61" s="239"/>
      <c r="AH61" s="239"/>
      <c r="AI61" s="239"/>
      <c r="AJ61" s="239"/>
      <c r="AK61" s="239"/>
    </row>
    <row r="62" spans="1:37" ht="15.75" customHeight="1">
      <c r="A62" s="239"/>
      <c r="B62" s="239"/>
      <c r="C62" s="239"/>
      <c r="D62" s="240"/>
      <c r="E62" s="240"/>
      <c r="F62" s="240"/>
      <c r="G62" s="240"/>
      <c r="H62" s="240"/>
      <c r="I62" s="240"/>
      <c r="J62" s="239"/>
      <c r="K62" s="239"/>
      <c r="L62" s="239"/>
      <c r="M62" s="240"/>
      <c r="N62" s="240"/>
      <c r="O62" s="240"/>
      <c r="P62" s="240"/>
      <c r="Q62" s="240"/>
      <c r="R62" s="239"/>
      <c r="S62" s="239"/>
      <c r="T62" s="239"/>
      <c r="U62" s="239"/>
      <c r="V62" s="239"/>
      <c r="W62" s="239"/>
      <c r="X62" s="239"/>
      <c r="Y62" s="239"/>
      <c r="Z62" s="239"/>
      <c r="AA62" s="239"/>
      <c r="AB62" s="239"/>
      <c r="AC62" s="239"/>
      <c r="AD62" s="239"/>
      <c r="AE62" s="239"/>
      <c r="AF62" s="239"/>
      <c r="AG62" s="239"/>
      <c r="AH62" s="239"/>
      <c r="AI62" s="239"/>
      <c r="AJ62" s="239"/>
      <c r="AK62" s="239"/>
    </row>
    <row r="63" spans="1:37" ht="15.75" customHeight="1">
      <c r="A63" s="239"/>
      <c r="B63" s="239"/>
      <c r="C63" s="239"/>
      <c r="D63" s="240"/>
      <c r="E63" s="240"/>
      <c r="F63" s="240"/>
      <c r="G63" s="240"/>
      <c r="H63" s="240"/>
      <c r="I63" s="240"/>
      <c r="J63" s="239"/>
      <c r="K63" s="239"/>
      <c r="L63" s="239"/>
      <c r="M63" s="240"/>
      <c r="N63" s="240"/>
      <c r="O63" s="240"/>
      <c r="P63" s="240"/>
      <c r="Q63" s="240"/>
      <c r="R63" s="239"/>
      <c r="S63" s="239"/>
      <c r="T63" s="239"/>
      <c r="U63" s="239"/>
      <c r="V63" s="239"/>
      <c r="W63" s="239"/>
      <c r="X63" s="239"/>
      <c r="Y63" s="239"/>
      <c r="Z63" s="239"/>
      <c r="AA63" s="239"/>
      <c r="AB63" s="239"/>
      <c r="AC63" s="239"/>
      <c r="AD63" s="239"/>
      <c r="AE63" s="239"/>
      <c r="AF63" s="239"/>
      <c r="AG63" s="239"/>
      <c r="AH63" s="239"/>
      <c r="AI63" s="239"/>
      <c r="AJ63" s="239"/>
      <c r="AK63" s="239"/>
    </row>
    <row r="64" spans="1:37" ht="15.75" customHeight="1">
      <c r="A64" s="239"/>
      <c r="B64" s="239"/>
      <c r="C64" s="239"/>
      <c r="D64" s="240"/>
      <c r="E64" s="240"/>
      <c r="F64" s="240"/>
      <c r="G64" s="240"/>
      <c r="H64" s="240"/>
      <c r="I64" s="240"/>
      <c r="J64" s="239"/>
      <c r="K64" s="239"/>
      <c r="L64" s="239"/>
      <c r="M64" s="240"/>
      <c r="N64" s="240"/>
      <c r="O64" s="240"/>
      <c r="P64" s="240"/>
      <c r="Q64" s="240"/>
      <c r="R64" s="239"/>
      <c r="S64" s="239"/>
      <c r="T64" s="239"/>
      <c r="U64" s="239"/>
      <c r="V64" s="239"/>
      <c r="W64" s="239"/>
      <c r="X64" s="239"/>
      <c r="Y64" s="239"/>
      <c r="Z64" s="239"/>
      <c r="AA64" s="239"/>
      <c r="AB64" s="239"/>
      <c r="AC64" s="239"/>
      <c r="AD64" s="239"/>
      <c r="AE64" s="239"/>
      <c r="AF64" s="239"/>
      <c r="AG64" s="239"/>
      <c r="AH64" s="239"/>
      <c r="AI64" s="239"/>
      <c r="AJ64" s="239"/>
      <c r="AK64" s="239"/>
    </row>
    <row r="65" spans="1:37" ht="15.75" customHeight="1">
      <c r="A65" s="239"/>
      <c r="B65" s="239"/>
      <c r="C65" s="239"/>
      <c r="D65" s="240"/>
      <c r="E65" s="240"/>
      <c r="F65" s="240"/>
      <c r="G65" s="240"/>
      <c r="H65" s="240"/>
      <c r="I65" s="240"/>
      <c r="J65" s="239"/>
      <c r="K65" s="239"/>
      <c r="L65" s="239"/>
      <c r="M65" s="240"/>
      <c r="N65" s="240"/>
      <c r="O65" s="240"/>
      <c r="P65" s="240"/>
      <c r="Q65" s="240"/>
      <c r="R65" s="239"/>
      <c r="S65" s="239"/>
      <c r="T65" s="239"/>
      <c r="U65" s="239"/>
      <c r="V65" s="239"/>
      <c r="W65" s="239"/>
      <c r="X65" s="239"/>
      <c r="Y65" s="239"/>
      <c r="Z65" s="239"/>
      <c r="AA65" s="239"/>
      <c r="AB65" s="239"/>
      <c r="AC65" s="239"/>
      <c r="AD65" s="239"/>
      <c r="AE65" s="239"/>
      <c r="AF65" s="239"/>
      <c r="AG65" s="239"/>
      <c r="AH65" s="239"/>
      <c r="AI65" s="239"/>
      <c r="AJ65" s="239"/>
      <c r="AK65" s="239"/>
    </row>
    <row r="66" spans="1:37" ht="15.75" customHeight="1">
      <c r="A66" s="239"/>
      <c r="B66" s="239"/>
      <c r="C66" s="239"/>
      <c r="D66" s="240"/>
      <c r="E66" s="240"/>
      <c r="F66" s="240"/>
      <c r="G66" s="240"/>
      <c r="H66" s="240"/>
      <c r="I66" s="240"/>
      <c r="J66" s="239"/>
      <c r="K66" s="239"/>
      <c r="L66" s="239"/>
      <c r="M66" s="240"/>
      <c r="N66" s="240"/>
      <c r="O66" s="240"/>
      <c r="P66" s="240"/>
      <c r="Q66" s="240"/>
      <c r="R66" s="239"/>
      <c r="S66" s="239"/>
      <c r="T66" s="239"/>
      <c r="U66" s="239"/>
      <c r="V66" s="239"/>
      <c r="W66" s="239"/>
      <c r="X66" s="239"/>
      <c r="Y66" s="239"/>
      <c r="Z66" s="239"/>
      <c r="AA66" s="239"/>
      <c r="AB66" s="239"/>
      <c r="AC66" s="239"/>
      <c r="AD66" s="239"/>
      <c r="AE66" s="239"/>
      <c r="AF66" s="239"/>
      <c r="AG66" s="239"/>
      <c r="AH66" s="239"/>
      <c r="AI66" s="239"/>
      <c r="AJ66" s="239"/>
      <c r="AK66" s="239"/>
    </row>
    <row r="67" spans="1:37" ht="15.75" customHeight="1">
      <c r="A67" s="239"/>
      <c r="B67" s="239"/>
      <c r="C67" s="239"/>
      <c r="D67" s="240"/>
      <c r="E67" s="240"/>
      <c r="F67" s="240"/>
      <c r="G67" s="240"/>
      <c r="H67" s="240"/>
      <c r="I67" s="240"/>
      <c r="J67" s="239"/>
      <c r="K67" s="239"/>
      <c r="L67" s="239"/>
      <c r="M67" s="240"/>
      <c r="N67" s="240"/>
      <c r="O67" s="240"/>
      <c r="P67" s="240"/>
      <c r="Q67" s="240"/>
      <c r="R67" s="239"/>
      <c r="S67" s="239"/>
      <c r="T67" s="239"/>
      <c r="U67" s="239"/>
      <c r="V67" s="239"/>
      <c r="W67" s="239"/>
      <c r="X67" s="239"/>
      <c r="Y67" s="239"/>
      <c r="Z67" s="239"/>
      <c r="AA67" s="239"/>
      <c r="AB67" s="239"/>
      <c r="AC67" s="239"/>
      <c r="AD67" s="239"/>
      <c r="AE67" s="239"/>
      <c r="AF67" s="239"/>
      <c r="AG67" s="239"/>
      <c r="AH67" s="239"/>
      <c r="AI67" s="239"/>
      <c r="AJ67" s="239"/>
      <c r="AK67" s="239"/>
    </row>
    <row r="68" spans="1:37" ht="15.75" customHeight="1">
      <c r="A68" s="239"/>
      <c r="B68" s="239"/>
      <c r="C68" s="239"/>
      <c r="D68" s="240"/>
      <c r="E68" s="240"/>
      <c r="F68" s="240"/>
      <c r="G68" s="240"/>
      <c r="H68" s="240"/>
      <c r="I68" s="240"/>
      <c r="J68" s="239"/>
      <c r="K68" s="239"/>
      <c r="L68" s="239"/>
      <c r="M68" s="240"/>
      <c r="N68" s="240"/>
      <c r="O68" s="240"/>
      <c r="P68" s="240"/>
      <c r="Q68" s="240"/>
      <c r="R68" s="239"/>
      <c r="S68" s="239"/>
      <c r="T68" s="239"/>
      <c r="U68" s="239"/>
      <c r="V68" s="239"/>
      <c r="W68" s="239"/>
      <c r="X68" s="239"/>
      <c r="Y68" s="239"/>
      <c r="Z68" s="239"/>
      <c r="AA68" s="239"/>
      <c r="AB68" s="239"/>
      <c r="AC68" s="239"/>
      <c r="AD68" s="239"/>
      <c r="AE68" s="239"/>
      <c r="AF68" s="239"/>
      <c r="AG68" s="239"/>
      <c r="AH68" s="239"/>
      <c r="AI68" s="239"/>
      <c r="AJ68" s="239"/>
      <c r="AK68" s="239"/>
    </row>
    <row r="69" spans="1:37" ht="15.75" customHeight="1">
      <c r="A69" s="239"/>
      <c r="B69" s="239"/>
      <c r="C69" s="239"/>
      <c r="D69" s="240"/>
      <c r="E69" s="240"/>
      <c r="F69" s="240"/>
      <c r="G69" s="240"/>
      <c r="H69" s="240"/>
      <c r="I69" s="240"/>
      <c r="J69" s="239"/>
      <c r="K69" s="239"/>
      <c r="L69" s="239"/>
      <c r="M69" s="240"/>
      <c r="N69" s="240"/>
      <c r="O69" s="240"/>
      <c r="P69" s="240"/>
      <c r="Q69" s="240"/>
      <c r="R69" s="239"/>
      <c r="S69" s="239"/>
      <c r="T69" s="239"/>
      <c r="U69" s="239"/>
      <c r="V69" s="239"/>
      <c r="W69" s="239"/>
      <c r="X69" s="239"/>
      <c r="Y69" s="239"/>
      <c r="Z69" s="239"/>
      <c r="AA69" s="239"/>
      <c r="AB69" s="239"/>
      <c r="AC69" s="239"/>
      <c r="AD69" s="239"/>
      <c r="AE69" s="239"/>
      <c r="AF69" s="239"/>
      <c r="AG69" s="239"/>
      <c r="AH69" s="239"/>
      <c r="AI69" s="239"/>
      <c r="AJ69" s="239"/>
      <c r="AK69" s="239"/>
    </row>
    <row r="70" spans="1:37" ht="15.75" customHeight="1">
      <c r="A70" s="239"/>
      <c r="B70" s="239"/>
      <c r="C70" s="239"/>
      <c r="D70" s="240"/>
      <c r="E70" s="240"/>
      <c r="F70" s="240"/>
      <c r="G70" s="240"/>
      <c r="H70" s="240"/>
      <c r="I70" s="240"/>
      <c r="J70" s="239"/>
      <c r="K70" s="239"/>
      <c r="L70" s="239"/>
      <c r="M70" s="240"/>
      <c r="N70" s="240"/>
      <c r="O70" s="240"/>
      <c r="P70" s="240"/>
      <c r="Q70" s="240"/>
      <c r="R70" s="239"/>
      <c r="S70" s="239"/>
      <c r="T70" s="239"/>
      <c r="U70" s="239"/>
      <c r="V70" s="239"/>
      <c r="W70" s="239"/>
      <c r="X70" s="239"/>
      <c r="Y70" s="239"/>
      <c r="Z70" s="239"/>
      <c r="AA70" s="239"/>
      <c r="AB70" s="239"/>
      <c r="AC70" s="239"/>
      <c r="AD70" s="239"/>
      <c r="AE70" s="239"/>
      <c r="AF70" s="239"/>
      <c r="AG70" s="239"/>
      <c r="AH70" s="239"/>
      <c r="AI70" s="239"/>
      <c r="AJ70" s="239"/>
      <c r="AK70" s="239"/>
    </row>
    <row r="71" spans="1:37" ht="15.75" customHeight="1">
      <c r="A71" s="239"/>
      <c r="B71" s="239"/>
      <c r="C71" s="239"/>
      <c r="D71" s="240"/>
      <c r="E71" s="240"/>
      <c r="F71" s="240"/>
      <c r="G71" s="240"/>
      <c r="H71" s="240"/>
      <c r="I71" s="240"/>
      <c r="J71" s="239"/>
      <c r="K71" s="239"/>
      <c r="L71" s="239"/>
      <c r="M71" s="240"/>
      <c r="N71" s="240"/>
      <c r="O71" s="240"/>
      <c r="P71" s="240"/>
      <c r="Q71" s="240"/>
      <c r="R71" s="239"/>
      <c r="S71" s="239"/>
      <c r="T71" s="239"/>
      <c r="U71" s="239"/>
      <c r="V71" s="239"/>
      <c r="W71" s="239"/>
      <c r="X71" s="239"/>
      <c r="Y71" s="239"/>
      <c r="Z71" s="239"/>
      <c r="AA71" s="239"/>
      <c r="AB71" s="239"/>
      <c r="AC71" s="239"/>
      <c r="AD71" s="239"/>
      <c r="AE71" s="239"/>
      <c r="AF71" s="239"/>
      <c r="AG71" s="239"/>
      <c r="AH71" s="239"/>
      <c r="AI71" s="239"/>
      <c r="AJ71" s="239"/>
      <c r="AK71" s="239"/>
    </row>
    <row r="72" spans="1:37" ht="15.75" customHeight="1">
      <c r="A72" s="239"/>
      <c r="B72" s="239"/>
      <c r="C72" s="239"/>
      <c r="D72" s="240"/>
      <c r="E72" s="240"/>
      <c r="F72" s="240"/>
      <c r="G72" s="240"/>
      <c r="H72" s="240"/>
      <c r="I72" s="240"/>
      <c r="J72" s="239"/>
      <c r="K72" s="239"/>
      <c r="L72" s="239"/>
      <c r="M72" s="240"/>
      <c r="N72" s="240"/>
      <c r="O72" s="240"/>
      <c r="P72" s="240"/>
      <c r="Q72" s="240"/>
      <c r="R72" s="239"/>
      <c r="S72" s="239"/>
      <c r="T72" s="239"/>
      <c r="U72" s="239"/>
      <c r="V72" s="239"/>
      <c r="W72" s="239"/>
      <c r="X72" s="239"/>
      <c r="Y72" s="239"/>
      <c r="Z72" s="239"/>
      <c r="AA72" s="239"/>
      <c r="AB72" s="239"/>
      <c r="AC72" s="239"/>
      <c r="AD72" s="239"/>
      <c r="AE72" s="239"/>
      <c r="AF72" s="239"/>
      <c r="AG72" s="239"/>
      <c r="AH72" s="239"/>
      <c r="AI72" s="239"/>
      <c r="AJ72" s="239"/>
      <c r="AK72" s="239"/>
    </row>
    <row r="73" spans="1:37" ht="15.75" customHeight="1">
      <c r="A73" s="239"/>
      <c r="B73" s="239"/>
      <c r="C73" s="239"/>
      <c r="D73" s="240"/>
      <c r="E73" s="240"/>
      <c r="F73" s="240"/>
      <c r="G73" s="240"/>
      <c r="H73" s="240"/>
      <c r="I73" s="240"/>
      <c r="J73" s="239"/>
      <c r="K73" s="239"/>
      <c r="L73" s="239"/>
      <c r="M73" s="240"/>
      <c r="N73" s="240"/>
      <c r="O73" s="240"/>
      <c r="P73" s="240"/>
      <c r="Q73" s="240"/>
      <c r="R73" s="239"/>
      <c r="S73" s="239"/>
      <c r="T73" s="239"/>
      <c r="U73" s="239"/>
      <c r="V73" s="239"/>
      <c r="W73" s="239"/>
      <c r="X73" s="239"/>
      <c r="Y73" s="239"/>
      <c r="Z73" s="239"/>
      <c r="AA73" s="239"/>
      <c r="AB73" s="239"/>
      <c r="AC73" s="239"/>
      <c r="AD73" s="239"/>
      <c r="AE73" s="239"/>
      <c r="AF73" s="239"/>
      <c r="AG73" s="239"/>
      <c r="AH73" s="239"/>
      <c r="AI73" s="239"/>
      <c r="AJ73" s="239"/>
      <c r="AK73" s="239"/>
    </row>
    <row r="74" spans="1:37" ht="15.75" customHeight="1">
      <c r="A74" s="239"/>
      <c r="B74" s="239"/>
      <c r="C74" s="239"/>
      <c r="D74" s="240"/>
      <c r="E74" s="240"/>
      <c r="F74" s="240"/>
      <c r="G74" s="240"/>
      <c r="H74" s="240"/>
      <c r="I74" s="240"/>
      <c r="J74" s="239"/>
      <c r="K74" s="239"/>
      <c r="L74" s="239"/>
      <c r="M74" s="240"/>
      <c r="N74" s="240"/>
      <c r="O74" s="240"/>
      <c r="P74" s="240"/>
      <c r="Q74" s="240"/>
      <c r="R74" s="239"/>
      <c r="S74" s="239"/>
      <c r="T74" s="239"/>
      <c r="U74" s="239"/>
      <c r="V74" s="239"/>
      <c r="W74" s="239"/>
      <c r="X74" s="239"/>
      <c r="Y74" s="239"/>
      <c r="Z74" s="239"/>
      <c r="AA74" s="239"/>
      <c r="AB74" s="239"/>
      <c r="AC74" s="239"/>
      <c r="AD74" s="239"/>
      <c r="AE74" s="239"/>
      <c r="AF74" s="239"/>
      <c r="AG74" s="239"/>
      <c r="AH74" s="239"/>
      <c r="AI74" s="239"/>
      <c r="AJ74" s="239"/>
      <c r="AK74" s="239"/>
    </row>
    <row r="75" spans="1:37" ht="15.75" customHeight="1">
      <c r="A75" s="239"/>
      <c r="B75" s="239"/>
      <c r="C75" s="239"/>
      <c r="D75" s="240"/>
      <c r="E75" s="240"/>
      <c r="F75" s="240"/>
      <c r="G75" s="240"/>
      <c r="H75" s="240"/>
      <c r="I75" s="240"/>
      <c r="J75" s="239"/>
      <c r="K75" s="239"/>
      <c r="L75" s="239"/>
      <c r="M75" s="240"/>
      <c r="N75" s="240"/>
      <c r="O75" s="240"/>
      <c r="P75" s="240"/>
      <c r="Q75" s="240"/>
      <c r="R75" s="239"/>
      <c r="S75" s="239"/>
      <c r="T75" s="239"/>
      <c r="U75" s="239"/>
      <c r="V75" s="239"/>
      <c r="W75" s="239"/>
      <c r="X75" s="239"/>
      <c r="Y75" s="239"/>
      <c r="Z75" s="239"/>
      <c r="AA75" s="239"/>
      <c r="AB75" s="239"/>
      <c r="AC75" s="239"/>
      <c r="AD75" s="239"/>
      <c r="AE75" s="239"/>
      <c r="AF75" s="239"/>
      <c r="AG75" s="239"/>
      <c r="AH75" s="239"/>
      <c r="AI75" s="239"/>
      <c r="AJ75" s="239"/>
      <c r="AK75" s="239"/>
    </row>
    <row r="76" spans="1:37" ht="15.75" customHeight="1">
      <c r="A76" s="239"/>
      <c r="B76" s="239"/>
      <c r="C76" s="239"/>
      <c r="D76" s="240"/>
      <c r="E76" s="240"/>
      <c r="F76" s="240"/>
      <c r="G76" s="240"/>
      <c r="H76" s="240"/>
      <c r="I76" s="240"/>
      <c r="J76" s="239"/>
      <c r="K76" s="239"/>
      <c r="L76" s="239"/>
      <c r="M76" s="240"/>
      <c r="N76" s="240"/>
      <c r="O76" s="240"/>
      <c r="P76" s="240"/>
      <c r="Q76" s="240"/>
      <c r="R76" s="239"/>
      <c r="S76" s="239"/>
      <c r="T76" s="239"/>
      <c r="U76" s="239"/>
      <c r="V76" s="239"/>
      <c r="W76" s="239"/>
      <c r="X76" s="239"/>
      <c r="Y76" s="239"/>
      <c r="Z76" s="239"/>
      <c r="AA76" s="239"/>
      <c r="AB76" s="239"/>
      <c r="AC76" s="239"/>
      <c r="AD76" s="239"/>
      <c r="AE76" s="239"/>
      <c r="AF76" s="239"/>
      <c r="AG76" s="239"/>
      <c r="AH76" s="239"/>
      <c r="AI76" s="239"/>
      <c r="AJ76" s="239"/>
      <c r="AK76" s="239"/>
    </row>
    <row r="77" spans="1:37" ht="15.75" customHeight="1">
      <c r="A77" s="239"/>
      <c r="B77" s="239"/>
      <c r="C77" s="239"/>
      <c r="D77" s="240"/>
      <c r="E77" s="240"/>
      <c r="F77" s="240"/>
      <c r="G77" s="240"/>
      <c r="H77" s="240"/>
      <c r="I77" s="240"/>
      <c r="J77" s="239"/>
      <c r="K77" s="239"/>
      <c r="L77" s="239"/>
      <c r="M77" s="240"/>
      <c r="N77" s="240"/>
      <c r="O77" s="240"/>
      <c r="P77" s="240"/>
      <c r="Q77" s="240"/>
      <c r="R77" s="239"/>
      <c r="S77" s="239"/>
      <c r="T77" s="239"/>
      <c r="U77" s="239"/>
      <c r="V77" s="239"/>
      <c r="W77" s="239"/>
      <c r="X77" s="239"/>
      <c r="Y77" s="239"/>
      <c r="Z77" s="239"/>
      <c r="AA77" s="239"/>
      <c r="AB77" s="239"/>
      <c r="AC77" s="239"/>
      <c r="AD77" s="239"/>
      <c r="AE77" s="239"/>
      <c r="AF77" s="239"/>
      <c r="AG77" s="239"/>
      <c r="AH77" s="239"/>
      <c r="AI77" s="239"/>
      <c r="AJ77" s="239"/>
      <c r="AK77" s="239"/>
    </row>
    <row r="78" spans="1:37" ht="15.75" customHeight="1">
      <c r="A78" s="239"/>
      <c r="B78" s="239"/>
      <c r="C78" s="239"/>
      <c r="D78" s="240"/>
      <c r="E78" s="240"/>
      <c r="F78" s="240"/>
      <c r="G78" s="240"/>
      <c r="H78" s="240"/>
      <c r="I78" s="240"/>
      <c r="J78" s="239"/>
      <c r="K78" s="239"/>
      <c r="L78" s="239"/>
      <c r="M78" s="240"/>
      <c r="N78" s="240"/>
      <c r="O78" s="240"/>
      <c r="P78" s="240"/>
      <c r="Q78" s="240"/>
      <c r="R78" s="239"/>
      <c r="S78" s="239"/>
      <c r="T78" s="239"/>
      <c r="U78" s="239"/>
      <c r="V78" s="239"/>
      <c r="W78" s="239"/>
      <c r="X78" s="239"/>
      <c r="Y78" s="239"/>
      <c r="Z78" s="239"/>
      <c r="AA78" s="239"/>
      <c r="AB78" s="239"/>
      <c r="AC78" s="239"/>
      <c r="AD78" s="239"/>
      <c r="AE78" s="239"/>
      <c r="AF78" s="239"/>
      <c r="AG78" s="239"/>
      <c r="AH78" s="239"/>
      <c r="AI78" s="239"/>
      <c r="AJ78" s="239"/>
      <c r="AK78" s="239"/>
    </row>
    <row r="79" spans="1:37" ht="15.75" customHeight="1">
      <c r="A79" s="239"/>
      <c r="B79" s="239"/>
      <c r="C79" s="239"/>
      <c r="D79" s="240"/>
      <c r="E79" s="240"/>
      <c r="F79" s="240"/>
      <c r="G79" s="240"/>
      <c r="H79" s="240"/>
      <c r="I79" s="240"/>
      <c r="J79" s="239"/>
      <c r="K79" s="239"/>
      <c r="L79" s="239"/>
      <c r="M79" s="240"/>
      <c r="N79" s="240"/>
      <c r="O79" s="240"/>
      <c r="P79" s="240"/>
      <c r="Q79" s="240"/>
      <c r="R79" s="239"/>
      <c r="S79" s="239"/>
      <c r="T79" s="239"/>
      <c r="U79" s="239"/>
      <c r="V79" s="239"/>
      <c r="W79" s="239"/>
      <c r="X79" s="239"/>
      <c r="Y79" s="239"/>
      <c r="Z79" s="239"/>
      <c r="AA79" s="239"/>
      <c r="AB79" s="239"/>
      <c r="AC79" s="239"/>
      <c r="AD79" s="239"/>
      <c r="AE79" s="239"/>
      <c r="AF79" s="239"/>
      <c r="AG79" s="239"/>
      <c r="AH79" s="239"/>
      <c r="AI79" s="239"/>
      <c r="AJ79" s="239"/>
      <c r="AK79" s="239"/>
    </row>
    <row r="80" spans="1:37" ht="15.75" customHeight="1">
      <c r="A80" s="239"/>
      <c r="B80" s="239"/>
      <c r="C80" s="239"/>
      <c r="D80" s="240"/>
      <c r="E80" s="240"/>
      <c r="F80" s="240"/>
      <c r="G80" s="240"/>
      <c r="H80" s="240"/>
      <c r="I80" s="240"/>
      <c r="J80" s="239"/>
      <c r="K80" s="239"/>
      <c r="L80" s="239"/>
      <c r="M80" s="240"/>
      <c r="N80" s="240"/>
      <c r="O80" s="240"/>
      <c r="P80" s="240"/>
      <c r="Q80" s="240"/>
      <c r="R80" s="239"/>
      <c r="S80" s="239"/>
      <c r="T80" s="239"/>
      <c r="U80" s="239"/>
      <c r="V80" s="239"/>
      <c r="W80" s="239"/>
      <c r="X80" s="239"/>
      <c r="Y80" s="239"/>
      <c r="Z80" s="239"/>
      <c r="AA80" s="239"/>
      <c r="AB80" s="239"/>
      <c r="AC80" s="239"/>
      <c r="AD80" s="239"/>
      <c r="AE80" s="239"/>
      <c r="AF80" s="239"/>
      <c r="AG80" s="239"/>
      <c r="AH80" s="239"/>
      <c r="AI80" s="239"/>
      <c r="AJ80" s="239"/>
      <c r="AK80" s="239"/>
    </row>
    <row r="81" spans="1:37" ht="15.75" customHeight="1">
      <c r="A81" s="239"/>
      <c r="B81" s="239"/>
      <c r="C81" s="239"/>
      <c r="D81" s="240"/>
      <c r="E81" s="240"/>
      <c r="F81" s="240"/>
      <c r="G81" s="240"/>
      <c r="H81" s="240"/>
      <c r="I81" s="240"/>
      <c r="J81" s="239"/>
      <c r="K81" s="239"/>
      <c r="L81" s="239"/>
      <c r="M81" s="240"/>
      <c r="N81" s="240"/>
      <c r="O81" s="240"/>
      <c r="P81" s="240"/>
      <c r="Q81" s="240"/>
      <c r="R81" s="239"/>
      <c r="S81" s="239"/>
      <c r="T81" s="239"/>
      <c r="U81" s="239"/>
      <c r="V81" s="239"/>
      <c r="W81" s="239"/>
      <c r="X81" s="239"/>
      <c r="Y81" s="239"/>
      <c r="Z81" s="239"/>
      <c r="AA81" s="239"/>
      <c r="AB81" s="239"/>
      <c r="AC81" s="239"/>
      <c r="AD81" s="239"/>
      <c r="AE81" s="239"/>
      <c r="AF81" s="239"/>
      <c r="AG81" s="239"/>
      <c r="AH81" s="239"/>
      <c r="AI81" s="239"/>
      <c r="AJ81" s="239"/>
      <c r="AK81" s="239"/>
    </row>
    <row r="82" spans="1:37" ht="15.75" customHeight="1">
      <c r="A82" s="239"/>
      <c r="B82" s="239"/>
      <c r="C82" s="239"/>
      <c r="D82" s="240"/>
      <c r="E82" s="240"/>
      <c r="F82" s="240"/>
      <c r="G82" s="240"/>
      <c r="H82" s="240"/>
      <c r="I82" s="240"/>
      <c r="J82" s="239"/>
      <c r="K82" s="239"/>
      <c r="L82" s="239"/>
      <c r="M82" s="240"/>
      <c r="N82" s="240"/>
      <c r="O82" s="240"/>
      <c r="P82" s="240"/>
      <c r="Q82" s="240"/>
      <c r="R82" s="239"/>
      <c r="S82" s="239"/>
      <c r="T82" s="239"/>
      <c r="U82" s="239"/>
      <c r="V82" s="239"/>
      <c r="W82" s="239"/>
      <c r="X82" s="239"/>
      <c r="Y82" s="239"/>
      <c r="Z82" s="239"/>
      <c r="AA82" s="239"/>
      <c r="AB82" s="239"/>
      <c r="AC82" s="239"/>
      <c r="AD82" s="239"/>
      <c r="AE82" s="239"/>
      <c r="AF82" s="239"/>
      <c r="AG82" s="239"/>
      <c r="AH82" s="239"/>
      <c r="AI82" s="239"/>
      <c r="AJ82" s="239"/>
      <c r="AK82" s="239"/>
    </row>
    <row r="83" spans="1:37" ht="15.75" customHeight="1">
      <c r="A83" s="239"/>
      <c r="B83" s="239"/>
      <c r="C83" s="239"/>
      <c r="D83" s="240"/>
      <c r="E83" s="240"/>
      <c r="F83" s="240"/>
      <c r="G83" s="240"/>
      <c r="H83" s="240"/>
      <c r="I83" s="240"/>
      <c r="J83" s="239"/>
      <c r="K83" s="239"/>
      <c r="L83" s="239"/>
      <c r="M83" s="240"/>
      <c r="N83" s="240"/>
      <c r="O83" s="240"/>
      <c r="P83" s="240"/>
      <c r="Q83" s="240"/>
      <c r="R83" s="239"/>
      <c r="S83" s="239"/>
      <c r="T83" s="239"/>
      <c r="U83" s="239"/>
      <c r="V83" s="239"/>
      <c r="W83" s="239"/>
      <c r="X83" s="239"/>
      <c r="Y83" s="239"/>
      <c r="Z83" s="239"/>
      <c r="AA83" s="239"/>
      <c r="AB83" s="239"/>
      <c r="AC83" s="239"/>
      <c r="AD83" s="239"/>
      <c r="AE83" s="239"/>
      <c r="AF83" s="239"/>
      <c r="AG83" s="239"/>
      <c r="AH83" s="239"/>
      <c r="AI83" s="239"/>
      <c r="AJ83" s="239"/>
      <c r="AK83" s="239"/>
    </row>
    <row r="84" spans="1:37" ht="15.75" customHeight="1">
      <c r="A84" s="239"/>
      <c r="B84" s="239"/>
      <c r="C84" s="239"/>
      <c r="D84" s="240"/>
      <c r="E84" s="240"/>
      <c r="F84" s="240"/>
      <c r="G84" s="240"/>
      <c r="H84" s="240"/>
      <c r="I84" s="240"/>
      <c r="J84" s="239"/>
      <c r="K84" s="239"/>
      <c r="L84" s="239"/>
      <c r="M84" s="240"/>
      <c r="N84" s="240"/>
      <c r="O84" s="240"/>
      <c r="P84" s="240"/>
      <c r="Q84" s="240"/>
      <c r="R84" s="239"/>
      <c r="S84" s="239"/>
      <c r="T84" s="239"/>
      <c r="U84" s="239"/>
      <c r="V84" s="239"/>
      <c r="W84" s="239"/>
      <c r="X84" s="239"/>
      <c r="Y84" s="239"/>
      <c r="Z84" s="239"/>
      <c r="AA84" s="239"/>
      <c r="AB84" s="239"/>
      <c r="AC84" s="239"/>
      <c r="AD84" s="239"/>
      <c r="AE84" s="239"/>
      <c r="AF84" s="239"/>
      <c r="AG84" s="239"/>
      <c r="AH84" s="239"/>
      <c r="AI84" s="239"/>
      <c r="AJ84" s="239"/>
      <c r="AK84" s="239"/>
    </row>
    <row r="85" spans="1:37" ht="15.75" customHeight="1">
      <c r="A85" s="239"/>
      <c r="B85" s="239"/>
      <c r="C85" s="239"/>
      <c r="D85" s="240"/>
      <c r="E85" s="240"/>
      <c r="F85" s="240"/>
      <c r="G85" s="240"/>
      <c r="H85" s="240"/>
      <c r="I85" s="240"/>
      <c r="J85" s="239"/>
      <c r="K85" s="239"/>
      <c r="L85" s="239"/>
      <c r="M85" s="240"/>
      <c r="N85" s="240"/>
      <c r="O85" s="240"/>
      <c r="P85" s="240"/>
      <c r="Q85" s="240"/>
      <c r="R85" s="239"/>
      <c r="S85" s="239"/>
      <c r="T85" s="239"/>
      <c r="U85" s="239"/>
      <c r="V85" s="239"/>
      <c r="W85" s="239"/>
      <c r="X85" s="239"/>
      <c r="Y85" s="239"/>
      <c r="Z85" s="239"/>
      <c r="AA85" s="239"/>
      <c r="AB85" s="239"/>
      <c r="AC85" s="239"/>
      <c r="AD85" s="239"/>
      <c r="AE85" s="239"/>
      <c r="AF85" s="239"/>
      <c r="AG85" s="239"/>
      <c r="AH85" s="239"/>
      <c r="AI85" s="239"/>
      <c r="AJ85" s="239"/>
      <c r="AK85" s="239"/>
    </row>
    <row r="86" spans="1:37" ht="15.75" customHeight="1">
      <c r="A86" s="239"/>
      <c r="B86" s="239"/>
      <c r="C86" s="239"/>
      <c r="D86" s="240"/>
      <c r="E86" s="240"/>
      <c r="F86" s="240"/>
      <c r="G86" s="240"/>
      <c r="H86" s="240"/>
      <c r="I86" s="240"/>
      <c r="J86" s="239"/>
      <c r="K86" s="239"/>
      <c r="L86" s="239"/>
      <c r="M86" s="240"/>
      <c r="N86" s="240"/>
      <c r="O86" s="240"/>
      <c r="P86" s="240"/>
      <c r="Q86" s="240"/>
      <c r="R86" s="239"/>
      <c r="S86" s="239"/>
      <c r="T86" s="239"/>
      <c r="U86" s="239"/>
      <c r="V86" s="239"/>
      <c r="W86" s="239"/>
      <c r="X86" s="239"/>
      <c r="Y86" s="239"/>
      <c r="Z86" s="239"/>
      <c r="AA86" s="239"/>
      <c r="AB86" s="239"/>
      <c r="AC86" s="239"/>
      <c r="AD86" s="239"/>
      <c r="AE86" s="239"/>
      <c r="AF86" s="239"/>
      <c r="AG86" s="239"/>
      <c r="AH86" s="239"/>
      <c r="AI86" s="239"/>
      <c r="AJ86" s="239"/>
      <c r="AK86" s="239"/>
    </row>
    <row r="87" spans="1:37" ht="15.75" customHeight="1">
      <c r="A87" s="239"/>
      <c r="B87" s="239"/>
      <c r="C87" s="239"/>
      <c r="D87" s="240"/>
      <c r="E87" s="240"/>
      <c r="F87" s="240"/>
      <c r="G87" s="240"/>
      <c r="H87" s="240"/>
      <c r="I87" s="240"/>
      <c r="J87" s="239"/>
      <c r="K87" s="239"/>
      <c r="L87" s="239"/>
      <c r="M87" s="240"/>
      <c r="N87" s="240"/>
      <c r="O87" s="240"/>
      <c r="P87" s="240"/>
      <c r="Q87" s="240"/>
      <c r="R87" s="239"/>
      <c r="S87" s="239"/>
      <c r="T87" s="239"/>
      <c r="U87" s="239"/>
      <c r="V87" s="239"/>
      <c r="W87" s="239"/>
      <c r="X87" s="239"/>
      <c r="Y87" s="239"/>
      <c r="Z87" s="239"/>
      <c r="AA87" s="239"/>
      <c r="AB87" s="239"/>
      <c r="AC87" s="239"/>
      <c r="AD87" s="239"/>
      <c r="AE87" s="239"/>
      <c r="AF87" s="239"/>
      <c r="AG87" s="239"/>
      <c r="AH87" s="239"/>
      <c r="AI87" s="239"/>
      <c r="AJ87" s="239"/>
      <c r="AK87" s="239"/>
    </row>
    <row r="88" spans="1:37" ht="15.75" customHeight="1">
      <c r="A88" s="239"/>
      <c r="B88" s="239"/>
      <c r="C88" s="239"/>
      <c r="D88" s="240"/>
      <c r="E88" s="240"/>
      <c r="F88" s="240"/>
      <c r="G88" s="240"/>
      <c r="H88" s="240"/>
      <c r="I88" s="240"/>
      <c r="J88" s="239"/>
      <c r="K88" s="239"/>
      <c r="L88" s="239"/>
      <c r="M88" s="240"/>
      <c r="N88" s="240"/>
      <c r="O88" s="240"/>
      <c r="P88" s="240"/>
      <c r="Q88" s="240"/>
      <c r="R88" s="239"/>
      <c r="S88" s="239"/>
      <c r="T88" s="239"/>
      <c r="U88" s="239"/>
      <c r="V88" s="239"/>
      <c r="W88" s="239"/>
      <c r="X88" s="239"/>
      <c r="Y88" s="239"/>
      <c r="Z88" s="239"/>
      <c r="AA88" s="239"/>
      <c r="AB88" s="239"/>
      <c r="AC88" s="239"/>
      <c r="AD88" s="239"/>
      <c r="AE88" s="239"/>
      <c r="AF88" s="239"/>
      <c r="AG88" s="239"/>
      <c r="AH88" s="239"/>
      <c r="AI88" s="239"/>
      <c r="AJ88" s="239"/>
      <c r="AK88" s="239"/>
    </row>
    <row r="89" spans="1:37" ht="15.75" customHeight="1">
      <c r="A89" s="239"/>
      <c r="B89" s="239"/>
      <c r="C89" s="239"/>
      <c r="D89" s="240"/>
      <c r="E89" s="240"/>
      <c r="F89" s="240"/>
      <c r="G89" s="240"/>
      <c r="H89" s="240"/>
      <c r="I89" s="240"/>
      <c r="J89" s="239"/>
      <c r="K89" s="239"/>
      <c r="L89" s="239"/>
      <c r="M89" s="240"/>
      <c r="N89" s="240"/>
      <c r="O89" s="240"/>
      <c r="P89" s="240"/>
      <c r="Q89" s="240"/>
      <c r="R89" s="239"/>
      <c r="S89" s="239"/>
      <c r="T89" s="239"/>
      <c r="U89" s="239"/>
      <c r="V89" s="239"/>
      <c r="W89" s="239"/>
      <c r="X89" s="239"/>
      <c r="Y89" s="239"/>
      <c r="Z89" s="239"/>
      <c r="AA89" s="239"/>
      <c r="AB89" s="239"/>
      <c r="AC89" s="239"/>
      <c r="AD89" s="239"/>
      <c r="AE89" s="239"/>
      <c r="AF89" s="239"/>
      <c r="AG89" s="239"/>
      <c r="AH89" s="239"/>
      <c r="AI89" s="239"/>
      <c r="AJ89" s="239"/>
      <c r="AK89" s="239"/>
    </row>
    <row r="90" spans="1:37" ht="15.75" customHeight="1">
      <c r="A90" s="239"/>
      <c r="B90" s="239"/>
      <c r="C90" s="239"/>
      <c r="D90" s="240"/>
      <c r="E90" s="240"/>
      <c r="F90" s="240"/>
      <c r="G90" s="240"/>
      <c r="H90" s="240"/>
      <c r="I90" s="240"/>
      <c r="J90" s="239"/>
      <c r="K90" s="239"/>
      <c r="L90" s="239"/>
      <c r="M90" s="240"/>
      <c r="N90" s="240"/>
      <c r="O90" s="240"/>
      <c r="P90" s="240"/>
      <c r="Q90" s="240"/>
      <c r="R90" s="239"/>
      <c r="S90" s="239"/>
      <c r="T90" s="239"/>
      <c r="U90" s="239"/>
      <c r="V90" s="239"/>
      <c r="W90" s="239"/>
      <c r="X90" s="239"/>
      <c r="Y90" s="239"/>
      <c r="Z90" s="239"/>
      <c r="AA90" s="239"/>
      <c r="AB90" s="239"/>
      <c r="AC90" s="239"/>
      <c r="AD90" s="239"/>
      <c r="AE90" s="239"/>
      <c r="AF90" s="239"/>
      <c r="AG90" s="239"/>
      <c r="AH90" s="239"/>
      <c r="AI90" s="239"/>
      <c r="AJ90" s="239"/>
      <c r="AK90" s="239"/>
    </row>
    <row r="91" spans="1:37" ht="15.75" customHeight="1">
      <c r="A91" s="239"/>
      <c r="B91" s="239"/>
      <c r="C91" s="239"/>
      <c r="D91" s="240"/>
      <c r="E91" s="240"/>
      <c r="F91" s="240"/>
      <c r="G91" s="240"/>
      <c r="H91" s="240"/>
      <c r="I91" s="240"/>
      <c r="J91" s="239"/>
      <c r="K91" s="239"/>
      <c r="L91" s="239"/>
      <c r="M91" s="240"/>
      <c r="N91" s="240"/>
      <c r="O91" s="240"/>
      <c r="P91" s="240"/>
      <c r="Q91" s="240"/>
      <c r="R91" s="239"/>
      <c r="S91" s="239"/>
      <c r="T91" s="239"/>
      <c r="U91" s="239"/>
      <c r="V91" s="239"/>
      <c r="W91" s="239"/>
      <c r="X91" s="239"/>
      <c r="Y91" s="239"/>
      <c r="Z91" s="239"/>
      <c r="AA91" s="239"/>
      <c r="AB91" s="239"/>
      <c r="AC91" s="239"/>
      <c r="AD91" s="239"/>
      <c r="AE91" s="239"/>
      <c r="AF91" s="239"/>
      <c r="AG91" s="239"/>
      <c r="AH91" s="239"/>
      <c r="AI91" s="239"/>
      <c r="AJ91" s="239"/>
      <c r="AK91" s="239"/>
    </row>
    <row r="92" spans="1:37" ht="15.75" customHeight="1">
      <c r="A92" s="239"/>
      <c r="B92" s="239"/>
      <c r="C92" s="239"/>
      <c r="D92" s="240"/>
      <c r="E92" s="240"/>
      <c r="F92" s="240"/>
      <c r="G92" s="240"/>
      <c r="H92" s="240"/>
      <c r="I92" s="240"/>
      <c r="J92" s="239"/>
      <c r="K92" s="239"/>
      <c r="L92" s="239"/>
      <c r="M92" s="240"/>
      <c r="N92" s="240"/>
      <c r="O92" s="240"/>
      <c r="P92" s="240"/>
      <c r="Q92" s="240"/>
      <c r="R92" s="239"/>
      <c r="S92" s="239"/>
      <c r="T92" s="239"/>
      <c r="U92" s="239"/>
      <c r="V92" s="239"/>
      <c r="W92" s="239"/>
      <c r="X92" s="239"/>
      <c r="Y92" s="239"/>
      <c r="Z92" s="239"/>
      <c r="AA92" s="239"/>
      <c r="AB92" s="239"/>
      <c r="AC92" s="239"/>
      <c r="AD92" s="239"/>
      <c r="AE92" s="239"/>
      <c r="AF92" s="239"/>
      <c r="AG92" s="239"/>
      <c r="AH92" s="239"/>
      <c r="AI92" s="239"/>
      <c r="AJ92" s="239"/>
      <c r="AK92" s="239"/>
    </row>
    <row r="93" spans="1:37" ht="15.75" customHeight="1">
      <c r="A93" s="239"/>
      <c r="B93" s="239"/>
      <c r="C93" s="239"/>
      <c r="D93" s="240"/>
      <c r="E93" s="240"/>
      <c r="F93" s="240"/>
      <c r="G93" s="240"/>
      <c r="H93" s="240"/>
      <c r="I93" s="240"/>
      <c r="J93" s="239"/>
      <c r="K93" s="239"/>
      <c r="L93" s="239"/>
      <c r="M93" s="240"/>
      <c r="N93" s="240"/>
      <c r="O93" s="240"/>
      <c r="P93" s="240"/>
      <c r="Q93" s="240"/>
      <c r="R93" s="239"/>
      <c r="S93" s="239"/>
      <c r="T93" s="239"/>
      <c r="U93" s="239"/>
      <c r="V93" s="239"/>
      <c r="W93" s="239"/>
      <c r="X93" s="239"/>
      <c r="Y93" s="239"/>
      <c r="Z93" s="239"/>
      <c r="AA93" s="239"/>
      <c r="AB93" s="239"/>
      <c r="AC93" s="239"/>
      <c r="AD93" s="239"/>
      <c r="AE93" s="239"/>
      <c r="AF93" s="239"/>
      <c r="AG93" s="239"/>
      <c r="AH93" s="239"/>
      <c r="AI93" s="239"/>
      <c r="AJ93" s="239"/>
      <c r="AK93" s="239"/>
    </row>
    <row r="94" spans="1:37" ht="15.75" customHeight="1">
      <c r="A94" s="239"/>
      <c r="B94" s="239"/>
      <c r="C94" s="239"/>
      <c r="D94" s="240"/>
      <c r="E94" s="240"/>
      <c r="F94" s="240"/>
      <c r="G94" s="240"/>
      <c r="H94" s="240"/>
      <c r="I94" s="240"/>
      <c r="J94" s="239"/>
      <c r="K94" s="239"/>
      <c r="L94" s="239"/>
      <c r="M94" s="240"/>
      <c r="N94" s="240"/>
      <c r="O94" s="240"/>
      <c r="P94" s="240"/>
      <c r="Q94" s="240"/>
      <c r="R94" s="239"/>
      <c r="S94" s="239"/>
      <c r="T94" s="239"/>
      <c r="U94" s="239"/>
      <c r="V94" s="239"/>
      <c r="W94" s="239"/>
      <c r="X94" s="239"/>
      <c r="Y94" s="239"/>
      <c r="Z94" s="239"/>
      <c r="AA94" s="239"/>
      <c r="AB94" s="239"/>
      <c r="AC94" s="239"/>
      <c r="AD94" s="239"/>
      <c r="AE94" s="239"/>
      <c r="AF94" s="239"/>
      <c r="AG94" s="239"/>
      <c r="AH94" s="239"/>
      <c r="AI94" s="239"/>
      <c r="AJ94" s="239"/>
      <c r="AK94" s="239"/>
    </row>
    <row r="95" spans="1:37" ht="15.75" customHeight="1">
      <c r="A95" s="239"/>
      <c r="B95" s="239"/>
      <c r="C95" s="239"/>
      <c r="D95" s="240"/>
      <c r="E95" s="240"/>
      <c r="F95" s="240"/>
      <c r="G95" s="240"/>
      <c r="H95" s="240"/>
      <c r="I95" s="240"/>
      <c r="J95" s="239"/>
      <c r="K95" s="239"/>
      <c r="L95" s="239"/>
      <c r="M95" s="240"/>
      <c r="N95" s="240"/>
      <c r="O95" s="240"/>
      <c r="P95" s="240"/>
      <c r="Q95" s="240"/>
      <c r="R95" s="239"/>
      <c r="S95" s="239"/>
      <c r="T95" s="239"/>
      <c r="U95" s="239"/>
      <c r="V95" s="239"/>
      <c r="W95" s="239"/>
      <c r="X95" s="239"/>
      <c r="Y95" s="239"/>
      <c r="Z95" s="239"/>
      <c r="AA95" s="239"/>
      <c r="AB95" s="239"/>
      <c r="AC95" s="239"/>
      <c r="AD95" s="239"/>
      <c r="AE95" s="239"/>
      <c r="AF95" s="239"/>
      <c r="AG95" s="239"/>
      <c r="AH95" s="239"/>
      <c r="AI95" s="239"/>
      <c r="AJ95" s="239"/>
      <c r="AK95" s="239"/>
    </row>
    <row r="96" spans="1:37" ht="15.75" customHeight="1">
      <c r="A96" s="239"/>
      <c r="B96" s="239"/>
      <c r="C96" s="239"/>
      <c r="D96" s="240"/>
      <c r="E96" s="240"/>
      <c r="F96" s="240"/>
      <c r="G96" s="240"/>
      <c r="H96" s="240"/>
      <c r="I96" s="240"/>
      <c r="J96" s="239"/>
      <c r="K96" s="239"/>
      <c r="L96" s="239"/>
      <c r="M96" s="240"/>
      <c r="N96" s="240"/>
      <c r="O96" s="240"/>
      <c r="P96" s="240"/>
      <c r="Q96" s="240"/>
      <c r="R96" s="239"/>
      <c r="S96" s="239"/>
      <c r="T96" s="239"/>
      <c r="U96" s="239"/>
      <c r="V96" s="239"/>
      <c r="W96" s="239"/>
      <c r="X96" s="239"/>
      <c r="Y96" s="239"/>
      <c r="Z96" s="239"/>
      <c r="AA96" s="239"/>
      <c r="AB96" s="239"/>
      <c r="AC96" s="239"/>
      <c r="AD96" s="239"/>
      <c r="AE96" s="239"/>
      <c r="AF96" s="239"/>
      <c r="AG96" s="239"/>
      <c r="AH96" s="239"/>
      <c r="AI96" s="239"/>
      <c r="AJ96" s="239"/>
      <c r="AK96" s="239"/>
    </row>
    <row r="97" spans="1:37" ht="15.75" customHeight="1">
      <c r="A97" s="239"/>
      <c r="B97" s="239"/>
      <c r="C97" s="239"/>
      <c r="D97" s="240"/>
      <c r="E97" s="240"/>
      <c r="F97" s="240"/>
      <c r="G97" s="240"/>
      <c r="H97" s="240"/>
      <c r="I97" s="240"/>
      <c r="J97" s="239"/>
      <c r="K97" s="239"/>
      <c r="L97" s="239"/>
      <c r="M97" s="240"/>
      <c r="N97" s="240"/>
      <c r="O97" s="240"/>
      <c r="P97" s="240"/>
      <c r="Q97" s="240"/>
      <c r="R97" s="239"/>
      <c r="S97" s="239"/>
      <c r="T97" s="239"/>
      <c r="U97" s="239"/>
      <c r="V97" s="239"/>
      <c r="W97" s="239"/>
      <c r="X97" s="239"/>
      <c r="Y97" s="239"/>
      <c r="Z97" s="239"/>
      <c r="AA97" s="239"/>
      <c r="AB97" s="239"/>
      <c r="AC97" s="239"/>
      <c r="AD97" s="239"/>
      <c r="AE97" s="239"/>
      <c r="AF97" s="239"/>
      <c r="AG97" s="239"/>
      <c r="AH97" s="239"/>
      <c r="AI97" s="239"/>
      <c r="AJ97" s="239"/>
      <c r="AK97" s="239"/>
    </row>
    <row r="98" spans="1:37" ht="15.75" customHeight="1">
      <c r="A98" s="239"/>
      <c r="B98" s="239"/>
      <c r="C98" s="239"/>
      <c r="D98" s="240"/>
      <c r="E98" s="240"/>
      <c r="F98" s="240"/>
      <c r="G98" s="240"/>
      <c r="H98" s="240"/>
      <c r="I98" s="240"/>
      <c r="J98" s="239"/>
      <c r="K98" s="239"/>
      <c r="L98" s="239"/>
      <c r="M98" s="240"/>
      <c r="N98" s="240"/>
      <c r="O98" s="240"/>
      <c r="P98" s="240"/>
      <c r="Q98" s="240"/>
      <c r="R98" s="239"/>
      <c r="S98" s="239"/>
      <c r="T98" s="239"/>
      <c r="U98" s="239"/>
      <c r="V98" s="239"/>
      <c r="W98" s="239"/>
      <c r="X98" s="239"/>
      <c r="Y98" s="239"/>
      <c r="Z98" s="239"/>
      <c r="AA98" s="239"/>
      <c r="AB98" s="239"/>
      <c r="AC98" s="239"/>
      <c r="AD98" s="239"/>
      <c r="AE98" s="239"/>
      <c r="AF98" s="239"/>
      <c r="AG98" s="239"/>
      <c r="AH98" s="239"/>
      <c r="AI98" s="239"/>
      <c r="AJ98" s="239"/>
      <c r="AK98" s="239"/>
    </row>
    <row r="99" spans="1:37" ht="15.75" customHeight="1">
      <c r="A99" s="239"/>
      <c r="B99" s="239"/>
      <c r="C99" s="239"/>
      <c r="D99" s="240"/>
      <c r="E99" s="240"/>
      <c r="F99" s="240"/>
      <c r="G99" s="240"/>
      <c r="H99" s="240"/>
      <c r="I99" s="240"/>
      <c r="J99" s="239"/>
      <c r="K99" s="239"/>
      <c r="L99" s="239"/>
      <c r="M99" s="240"/>
      <c r="N99" s="240"/>
      <c r="O99" s="240"/>
      <c r="P99" s="240"/>
      <c r="Q99" s="240"/>
      <c r="R99" s="239"/>
      <c r="S99" s="239"/>
      <c r="T99" s="239"/>
      <c r="U99" s="239"/>
      <c r="V99" s="239"/>
      <c r="W99" s="239"/>
      <c r="X99" s="239"/>
      <c r="Y99" s="239"/>
      <c r="Z99" s="239"/>
      <c r="AA99" s="239"/>
      <c r="AB99" s="239"/>
      <c r="AC99" s="239"/>
      <c r="AD99" s="239"/>
      <c r="AE99" s="239"/>
      <c r="AF99" s="239"/>
      <c r="AG99" s="239"/>
      <c r="AH99" s="239"/>
      <c r="AI99" s="239"/>
      <c r="AJ99" s="239"/>
      <c r="AK99" s="239"/>
    </row>
    <row r="100" spans="1:37" ht="15.75" customHeight="1">
      <c r="A100" s="239"/>
      <c r="B100" s="239"/>
      <c r="C100" s="239"/>
      <c r="D100" s="240"/>
      <c r="E100" s="240"/>
      <c r="F100" s="240"/>
      <c r="G100" s="240"/>
      <c r="H100" s="240"/>
      <c r="I100" s="240"/>
      <c r="J100" s="239"/>
      <c r="K100" s="239"/>
      <c r="L100" s="239"/>
      <c r="M100" s="240"/>
      <c r="N100" s="240"/>
      <c r="O100" s="240"/>
      <c r="P100" s="240"/>
      <c r="Q100" s="240"/>
      <c r="R100" s="239"/>
      <c r="S100" s="239"/>
      <c r="T100" s="239"/>
      <c r="U100" s="239"/>
      <c r="V100" s="239"/>
      <c r="W100" s="239"/>
      <c r="X100" s="239"/>
      <c r="Y100" s="239"/>
      <c r="Z100" s="239"/>
      <c r="AA100" s="239"/>
      <c r="AB100" s="239"/>
      <c r="AC100" s="239"/>
      <c r="AD100" s="239"/>
      <c r="AE100" s="239"/>
      <c r="AF100" s="239"/>
      <c r="AG100" s="239"/>
      <c r="AH100" s="239"/>
      <c r="AI100" s="239"/>
      <c r="AJ100" s="239"/>
      <c r="AK100" s="239"/>
    </row>
    <row r="101" spans="1:37" ht="15.75" customHeight="1">
      <c r="A101" s="239"/>
      <c r="B101" s="239"/>
      <c r="C101" s="239"/>
      <c r="D101" s="240"/>
      <c r="E101" s="240"/>
      <c r="F101" s="240"/>
      <c r="G101" s="240"/>
      <c r="H101" s="240"/>
      <c r="I101" s="240"/>
      <c r="J101" s="239"/>
      <c r="K101" s="239"/>
      <c r="L101" s="239"/>
      <c r="M101" s="240"/>
      <c r="N101" s="240"/>
      <c r="O101" s="240"/>
      <c r="P101" s="240"/>
      <c r="Q101" s="240"/>
      <c r="R101" s="239"/>
      <c r="S101" s="239"/>
      <c r="T101" s="239"/>
      <c r="U101" s="239"/>
      <c r="V101" s="239"/>
      <c r="W101" s="239"/>
      <c r="X101" s="239"/>
      <c r="Y101" s="239"/>
      <c r="Z101" s="239"/>
      <c r="AA101" s="239"/>
      <c r="AB101" s="239"/>
      <c r="AC101" s="239"/>
      <c r="AD101" s="239"/>
      <c r="AE101" s="239"/>
      <c r="AF101" s="239"/>
      <c r="AG101" s="239"/>
      <c r="AH101" s="239"/>
      <c r="AI101" s="239"/>
      <c r="AJ101" s="239"/>
      <c r="AK101" s="239"/>
    </row>
    <row r="102" spans="1:37" ht="15.75" customHeight="1">
      <c r="A102" s="239"/>
      <c r="B102" s="239"/>
      <c r="C102" s="239"/>
      <c r="D102" s="240"/>
      <c r="E102" s="240"/>
      <c r="F102" s="240"/>
      <c r="G102" s="240"/>
      <c r="H102" s="240"/>
      <c r="I102" s="240"/>
      <c r="J102" s="239"/>
      <c r="K102" s="239"/>
      <c r="L102" s="239"/>
      <c r="M102" s="240"/>
      <c r="N102" s="240"/>
      <c r="O102" s="240"/>
      <c r="P102" s="240"/>
      <c r="Q102" s="240"/>
      <c r="R102" s="239"/>
      <c r="S102" s="239"/>
      <c r="T102" s="239"/>
      <c r="U102" s="239"/>
      <c r="V102" s="239"/>
      <c r="W102" s="239"/>
      <c r="X102" s="239"/>
      <c r="Y102" s="239"/>
      <c r="Z102" s="239"/>
      <c r="AA102" s="239"/>
      <c r="AB102" s="239"/>
      <c r="AC102" s="239"/>
      <c r="AD102" s="239"/>
      <c r="AE102" s="239"/>
      <c r="AF102" s="239"/>
      <c r="AG102" s="239"/>
      <c r="AH102" s="239"/>
      <c r="AI102" s="239"/>
      <c r="AJ102" s="239"/>
      <c r="AK102" s="239"/>
    </row>
    <row r="103" spans="1:37" ht="15.75" customHeight="1">
      <c r="A103" s="239"/>
      <c r="B103" s="239"/>
      <c r="C103" s="239"/>
      <c r="D103" s="240"/>
      <c r="E103" s="240"/>
      <c r="F103" s="240"/>
      <c r="G103" s="240"/>
      <c r="H103" s="240"/>
      <c r="I103" s="240"/>
      <c r="J103" s="239"/>
      <c r="K103" s="239"/>
      <c r="L103" s="239"/>
      <c r="M103" s="240"/>
      <c r="N103" s="240"/>
      <c r="O103" s="240"/>
      <c r="P103" s="240"/>
      <c r="Q103" s="240"/>
      <c r="R103" s="239"/>
      <c r="S103" s="239"/>
      <c r="T103" s="239"/>
      <c r="U103" s="239"/>
      <c r="V103" s="239"/>
      <c r="W103" s="239"/>
      <c r="X103" s="239"/>
      <c r="Y103" s="239"/>
      <c r="Z103" s="239"/>
      <c r="AA103" s="239"/>
      <c r="AB103" s="239"/>
      <c r="AC103" s="239"/>
      <c r="AD103" s="239"/>
      <c r="AE103" s="239"/>
      <c r="AF103" s="239"/>
      <c r="AG103" s="239"/>
      <c r="AH103" s="239"/>
      <c r="AI103" s="239"/>
      <c r="AJ103" s="239"/>
      <c r="AK103" s="239"/>
    </row>
    <row r="104" spans="1:37" ht="15.75" customHeight="1">
      <c r="A104" s="239"/>
      <c r="B104" s="239"/>
      <c r="C104" s="239"/>
      <c r="D104" s="240"/>
      <c r="E104" s="240"/>
      <c r="F104" s="240"/>
      <c r="G104" s="240"/>
      <c r="H104" s="240"/>
      <c r="I104" s="240"/>
      <c r="J104" s="239"/>
      <c r="K104" s="239"/>
      <c r="L104" s="239"/>
      <c r="M104" s="240"/>
      <c r="N104" s="240"/>
      <c r="O104" s="240"/>
      <c r="P104" s="240"/>
      <c r="Q104" s="240"/>
      <c r="R104" s="239"/>
      <c r="S104" s="239"/>
      <c r="T104" s="239"/>
      <c r="U104" s="239"/>
      <c r="V104" s="239"/>
      <c r="W104" s="239"/>
      <c r="X104" s="239"/>
      <c r="Y104" s="239"/>
      <c r="Z104" s="239"/>
      <c r="AA104" s="239"/>
      <c r="AB104" s="239"/>
      <c r="AC104" s="239"/>
      <c r="AD104" s="239"/>
      <c r="AE104" s="239"/>
      <c r="AF104" s="239"/>
      <c r="AG104" s="239"/>
      <c r="AH104" s="239"/>
      <c r="AI104" s="239"/>
      <c r="AJ104" s="239"/>
      <c r="AK104" s="239"/>
    </row>
    <row r="105" spans="1:37" ht="15.75" customHeight="1">
      <c r="A105" s="239"/>
      <c r="B105" s="239"/>
      <c r="C105" s="239"/>
      <c r="D105" s="240"/>
      <c r="E105" s="240"/>
      <c r="F105" s="240"/>
      <c r="G105" s="240"/>
      <c r="H105" s="240"/>
      <c r="I105" s="240"/>
      <c r="J105" s="239"/>
      <c r="K105" s="239"/>
      <c r="L105" s="239"/>
      <c r="M105" s="240"/>
      <c r="N105" s="240"/>
      <c r="O105" s="240"/>
      <c r="P105" s="240"/>
      <c r="Q105" s="240"/>
      <c r="R105" s="239"/>
      <c r="S105" s="239"/>
      <c r="T105" s="239"/>
      <c r="U105" s="239"/>
      <c r="V105" s="239"/>
      <c r="W105" s="239"/>
      <c r="X105" s="239"/>
      <c r="Y105" s="239"/>
      <c r="Z105" s="239"/>
      <c r="AA105" s="239"/>
      <c r="AB105" s="239"/>
      <c r="AC105" s="239"/>
      <c r="AD105" s="239"/>
      <c r="AE105" s="239"/>
      <c r="AF105" s="239"/>
      <c r="AG105" s="239"/>
      <c r="AH105" s="239"/>
      <c r="AI105" s="239"/>
      <c r="AJ105" s="239"/>
      <c r="AK105" s="239"/>
    </row>
    <row r="106" spans="1:37" ht="15.75" customHeight="1">
      <c r="A106" s="239"/>
      <c r="B106" s="239"/>
      <c r="C106" s="239"/>
      <c r="D106" s="240"/>
      <c r="E106" s="240"/>
      <c r="F106" s="240"/>
      <c r="G106" s="240"/>
      <c r="H106" s="240"/>
      <c r="I106" s="240"/>
      <c r="J106" s="239"/>
      <c r="K106" s="239"/>
      <c r="L106" s="239"/>
      <c r="M106" s="240"/>
      <c r="N106" s="240"/>
      <c r="O106" s="240"/>
      <c r="P106" s="240"/>
      <c r="Q106" s="240"/>
      <c r="R106" s="239"/>
      <c r="S106" s="239"/>
      <c r="T106" s="239"/>
      <c r="U106" s="239"/>
      <c r="V106" s="239"/>
      <c r="W106" s="239"/>
      <c r="X106" s="239"/>
      <c r="Y106" s="239"/>
      <c r="Z106" s="239"/>
      <c r="AA106" s="239"/>
      <c r="AB106" s="239"/>
      <c r="AC106" s="239"/>
      <c r="AD106" s="239"/>
      <c r="AE106" s="239"/>
      <c r="AF106" s="239"/>
      <c r="AG106" s="239"/>
      <c r="AH106" s="239"/>
      <c r="AI106" s="239"/>
      <c r="AJ106" s="239"/>
      <c r="AK106" s="239"/>
    </row>
    <row r="107" spans="1:37" ht="15.75" customHeight="1">
      <c r="A107" s="239"/>
      <c r="B107" s="239"/>
      <c r="C107" s="239"/>
      <c r="D107" s="240"/>
      <c r="E107" s="240"/>
      <c r="F107" s="240"/>
      <c r="G107" s="240"/>
      <c r="H107" s="240"/>
      <c r="I107" s="240"/>
      <c r="J107" s="239"/>
      <c r="K107" s="239"/>
      <c r="L107" s="239"/>
      <c r="M107" s="240"/>
      <c r="N107" s="240"/>
      <c r="O107" s="240"/>
      <c r="P107" s="240"/>
      <c r="Q107" s="240"/>
      <c r="R107" s="239"/>
      <c r="S107" s="239"/>
      <c r="T107" s="239"/>
      <c r="U107" s="239"/>
      <c r="V107" s="239"/>
      <c r="W107" s="239"/>
      <c r="X107" s="239"/>
      <c r="Y107" s="239"/>
      <c r="Z107" s="239"/>
      <c r="AA107" s="239"/>
      <c r="AB107" s="239"/>
      <c r="AC107" s="239"/>
      <c r="AD107" s="239"/>
      <c r="AE107" s="239"/>
      <c r="AF107" s="239"/>
      <c r="AG107" s="239"/>
      <c r="AH107" s="239"/>
      <c r="AI107" s="239"/>
      <c r="AJ107" s="239"/>
      <c r="AK107" s="239"/>
    </row>
    <row r="108" spans="1:37" ht="15.75" customHeight="1">
      <c r="A108" s="239"/>
      <c r="B108" s="239"/>
      <c r="C108" s="239"/>
      <c r="D108" s="240"/>
      <c r="E108" s="240"/>
      <c r="F108" s="240"/>
      <c r="G108" s="240"/>
      <c r="H108" s="240"/>
      <c r="I108" s="240"/>
      <c r="J108" s="239"/>
      <c r="K108" s="239"/>
      <c r="L108" s="239"/>
      <c r="M108" s="240"/>
      <c r="N108" s="240"/>
      <c r="O108" s="240"/>
      <c r="P108" s="240"/>
      <c r="Q108" s="240"/>
      <c r="R108" s="239"/>
      <c r="S108" s="239"/>
      <c r="T108" s="239"/>
      <c r="U108" s="239"/>
      <c r="V108" s="239"/>
      <c r="W108" s="239"/>
      <c r="X108" s="239"/>
      <c r="Y108" s="239"/>
      <c r="Z108" s="239"/>
      <c r="AA108" s="239"/>
      <c r="AB108" s="239"/>
      <c r="AC108" s="239"/>
      <c r="AD108" s="239"/>
      <c r="AE108" s="239"/>
      <c r="AF108" s="239"/>
      <c r="AG108" s="239"/>
      <c r="AH108" s="239"/>
      <c r="AI108" s="239"/>
      <c r="AJ108" s="239"/>
      <c r="AK108" s="239"/>
    </row>
    <row r="109" spans="1:37" ht="15.75" customHeight="1">
      <c r="A109" s="239"/>
      <c r="B109" s="239"/>
      <c r="C109" s="239"/>
      <c r="D109" s="240"/>
      <c r="E109" s="240"/>
      <c r="F109" s="240"/>
      <c r="G109" s="240"/>
      <c r="H109" s="240"/>
      <c r="I109" s="240"/>
      <c r="J109" s="239"/>
      <c r="K109" s="239"/>
      <c r="L109" s="239"/>
      <c r="M109" s="240"/>
      <c r="N109" s="240"/>
      <c r="O109" s="240"/>
      <c r="P109" s="240"/>
      <c r="Q109" s="240"/>
      <c r="R109" s="239"/>
      <c r="S109" s="239"/>
      <c r="T109" s="239"/>
      <c r="U109" s="239"/>
      <c r="V109" s="239"/>
      <c r="W109" s="239"/>
      <c r="X109" s="239"/>
      <c r="Y109" s="239"/>
      <c r="Z109" s="239"/>
      <c r="AA109" s="239"/>
      <c r="AB109" s="239"/>
      <c r="AC109" s="239"/>
      <c r="AD109" s="239"/>
      <c r="AE109" s="239"/>
      <c r="AF109" s="239"/>
      <c r="AG109" s="239"/>
      <c r="AH109" s="239"/>
      <c r="AI109" s="239"/>
      <c r="AJ109" s="239"/>
      <c r="AK109" s="239"/>
    </row>
    <row r="110" spans="1:37" ht="15.75" customHeight="1">
      <c r="A110" s="239"/>
      <c r="B110" s="239"/>
      <c r="C110" s="239"/>
      <c r="D110" s="240"/>
      <c r="E110" s="240"/>
      <c r="F110" s="240"/>
      <c r="G110" s="240"/>
      <c r="H110" s="240"/>
      <c r="I110" s="240"/>
      <c r="J110" s="239"/>
      <c r="K110" s="239"/>
      <c r="L110" s="239"/>
      <c r="M110" s="240"/>
      <c r="N110" s="240"/>
      <c r="O110" s="240"/>
      <c r="P110" s="240"/>
      <c r="Q110" s="240"/>
      <c r="R110" s="239"/>
      <c r="S110" s="239"/>
      <c r="T110" s="239"/>
      <c r="U110" s="239"/>
      <c r="V110" s="239"/>
      <c r="W110" s="239"/>
      <c r="X110" s="239"/>
      <c r="Y110" s="239"/>
      <c r="Z110" s="239"/>
      <c r="AA110" s="239"/>
      <c r="AB110" s="239"/>
      <c r="AC110" s="239"/>
      <c r="AD110" s="239"/>
      <c r="AE110" s="239"/>
      <c r="AF110" s="239"/>
      <c r="AG110" s="239"/>
      <c r="AH110" s="239"/>
      <c r="AI110" s="239"/>
      <c r="AJ110" s="239"/>
      <c r="AK110" s="239"/>
    </row>
    <row r="111" spans="1:37" ht="15.75" customHeight="1">
      <c r="A111" s="239"/>
      <c r="B111" s="239"/>
      <c r="C111" s="239"/>
      <c r="D111" s="240"/>
      <c r="E111" s="240"/>
      <c r="F111" s="240"/>
      <c r="G111" s="240"/>
      <c r="H111" s="240"/>
      <c r="I111" s="240"/>
      <c r="J111" s="239"/>
      <c r="K111" s="239"/>
      <c r="L111" s="239"/>
      <c r="M111" s="240"/>
      <c r="N111" s="240"/>
      <c r="O111" s="240"/>
      <c r="P111" s="240"/>
      <c r="Q111" s="240"/>
      <c r="R111" s="239"/>
      <c r="S111" s="239"/>
      <c r="T111" s="239"/>
      <c r="U111" s="239"/>
      <c r="V111" s="239"/>
      <c r="W111" s="239"/>
      <c r="X111" s="239"/>
      <c r="Y111" s="239"/>
      <c r="Z111" s="239"/>
      <c r="AA111" s="239"/>
      <c r="AB111" s="239"/>
      <c r="AC111" s="239"/>
      <c r="AD111" s="239"/>
      <c r="AE111" s="239"/>
      <c r="AF111" s="239"/>
      <c r="AG111" s="239"/>
      <c r="AH111" s="239"/>
      <c r="AI111" s="239"/>
      <c r="AJ111" s="239"/>
      <c r="AK111" s="239"/>
    </row>
    <row r="112" spans="1:37" ht="15.75" customHeight="1">
      <c r="A112" s="239"/>
      <c r="B112" s="239"/>
      <c r="C112" s="239"/>
      <c r="D112" s="240"/>
      <c r="E112" s="240"/>
      <c r="F112" s="240"/>
      <c r="G112" s="240"/>
      <c r="H112" s="240"/>
      <c r="I112" s="240"/>
      <c r="J112" s="239"/>
      <c r="K112" s="239"/>
      <c r="L112" s="239"/>
      <c r="M112" s="240"/>
      <c r="N112" s="240"/>
      <c r="O112" s="240"/>
      <c r="P112" s="240"/>
      <c r="Q112" s="240"/>
      <c r="R112" s="239"/>
      <c r="S112" s="239"/>
      <c r="T112" s="239"/>
      <c r="U112" s="239"/>
      <c r="V112" s="239"/>
      <c r="W112" s="239"/>
      <c r="X112" s="239"/>
      <c r="Y112" s="239"/>
      <c r="Z112" s="239"/>
      <c r="AA112" s="239"/>
      <c r="AB112" s="239"/>
      <c r="AC112" s="239"/>
      <c r="AD112" s="239"/>
      <c r="AE112" s="239"/>
      <c r="AF112" s="239"/>
      <c r="AG112" s="239"/>
      <c r="AH112" s="239"/>
      <c r="AI112" s="239"/>
      <c r="AJ112" s="239"/>
      <c r="AK112" s="239"/>
    </row>
    <row r="113" spans="1:37" ht="15.75" customHeight="1">
      <c r="A113" s="239"/>
      <c r="B113" s="239"/>
      <c r="C113" s="239"/>
      <c r="D113" s="240"/>
      <c r="E113" s="240"/>
      <c r="F113" s="240"/>
      <c r="G113" s="240"/>
      <c r="H113" s="240"/>
      <c r="I113" s="240"/>
      <c r="J113" s="239"/>
      <c r="K113" s="239"/>
      <c r="L113" s="239"/>
      <c r="M113" s="240"/>
      <c r="N113" s="240"/>
      <c r="O113" s="240"/>
      <c r="P113" s="240"/>
      <c r="Q113" s="240"/>
      <c r="R113" s="239"/>
      <c r="S113" s="239"/>
      <c r="T113" s="239"/>
      <c r="U113" s="239"/>
      <c r="V113" s="239"/>
      <c r="W113" s="239"/>
      <c r="X113" s="239"/>
      <c r="Y113" s="239"/>
      <c r="Z113" s="239"/>
      <c r="AA113" s="239"/>
      <c r="AB113" s="239"/>
      <c r="AC113" s="239"/>
      <c r="AD113" s="239"/>
      <c r="AE113" s="239"/>
      <c r="AF113" s="239"/>
      <c r="AG113" s="239"/>
      <c r="AH113" s="239"/>
      <c r="AI113" s="239"/>
      <c r="AJ113" s="239"/>
      <c r="AK113" s="239"/>
    </row>
    <row r="114" spans="1:37" ht="15.75" customHeight="1">
      <c r="A114" s="239"/>
      <c r="B114" s="239"/>
      <c r="C114" s="239"/>
      <c r="D114" s="240"/>
      <c r="E114" s="240"/>
      <c r="F114" s="240"/>
      <c r="G114" s="240"/>
      <c r="H114" s="240"/>
      <c r="I114" s="240"/>
      <c r="J114" s="239"/>
      <c r="K114" s="239"/>
      <c r="L114" s="239"/>
      <c r="M114" s="240"/>
      <c r="N114" s="240"/>
      <c r="O114" s="240"/>
      <c r="P114" s="240"/>
      <c r="Q114" s="240"/>
      <c r="R114" s="239"/>
      <c r="S114" s="239"/>
      <c r="T114" s="239"/>
      <c r="U114" s="239"/>
      <c r="V114" s="239"/>
      <c r="W114" s="239"/>
      <c r="X114" s="239"/>
      <c r="Y114" s="239"/>
      <c r="Z114" s="239"/>
      <c r="AA114" s="239"/>
      <c r="AB114" s="239"/>
      <c r="AC114" s="239"/>
      <c r="AD114" s="239"/>
      <c r="AE114" s="239"/>
      <c r="AF114" s="239"/>
      <c r="AG114" s="239"/>
      <c r="AH114" s="239"/>
      <c r="AI114" s="239"/>
      <c r="AJ114" s="239"/>
      <c r="AK114" s="239"/>
    </row>
    <row r="115" spans="1:37" ht="15.75" customHeight="1">
      <c r="A115" s="239"/>
      <c r="B115" s="239"/>
      <c r="C115" s="239"/>
      <c r="D115" s="240"/>
      <c r="E115" s="240"/>
      <c r="F115" s="240"/>
      <c r="G115" s="240"/>
      <c r="H115" s="240"/>
      <c r="I115" s="240"/>
      <c r="J115" s="239"/>
      <c r="K115" s="239"/>
      <c r="L115" s="239"/>
      <c r="M115" s="240"/>
      <c r="N115" s="240"/>
      <c r="O115" s="240"/>
      <c r="P115" s="240"/>
      <c r="Q115" s="240"/>
      <c r="R115" s="239"/>
      <c r="S115" s="239"/>
      <c r="T115" s="239"/>
      <c r="U115" s="239"/>
      <c r="V115" s="239"/>
      <c r="W115" s="239"/>
      <c r="X115" s="239"/>
      <c r="Y115" s="239"/>
      <c r="Z115" s="239"/>
      <c r="AA115" s="239"/>
      <c r="AB115" s="239"/>
      <c r="AC115" s="239"/>
      <c r="AD115" s="239"/>
      <c r="AE115" s="239"/>
      <c r="AF115" s="239"/>
      <c r="AG115" s="239"/>
      <c r="AH115" s="239"/>
      <c r="AI115" s="239"/>
      <c r="AJ115" s="239"/>
      <c r="AK115" s="239"/>
    </row>
    <row r="116" spans="1:37" ht="15.75" customHeight="1">
      <c r="A116" s="239"/>
      <c r="B116" s="239"/>
      <c r="C116" s="239"/>
      <c r="D116" s="240"/>
      <c r="E116" s="240"/>
      <c r="F116" s="240"/>
      <c r="G116" s="240"/>
      <c r="H116" s="240"/>
      <c r="I116" s="240"/>
      <c r="J116" s="239"/>
      <c r="K116" s="239"/>
      <c r="L116" s="239"/>
      <c r="M116" s="240"/>
      <c r="N116" s="240"/>
      <c r="O116" s="240"/>
      <c r="P116" s="240"/>
      <c r="Q116" s="240"/>
      <c r="R116" s="239"/>
      <c r="S116" s="239"/>
      <c r="T116" s="239"/>
      <c r="U116" s="239"/>
      <c r="V116" s="239"/>
      <c r="W116" s="239"/>
      <c r="X116" s="239"/>
      <c r="Y116" s="239"/>
      <c r="Z116" s="239"/>
      <c r="AA116" s="239"/>
      <c r="AB116" s="239"/>
      <c r="AC116" s="239"/>
      <c r="AD116" s="239"/>
      <c r="AE116" s="239"/>
      <c r="AF116" s="239"/>
      <c r="AG116" s="239"/>
      <c r="AH116" s="239"/>
      <c r="AI116" s="239"/>
      <c r="AJ116" s="239"/>
      <c r="AK116" s="239"/>
    </row>
    <row r="117" spans="1:37" ht="15.75" customHeight="1">
      <c r="A117" s="239"/>
      <c r="B117" s="239"/>
      <c r="C117" s="239"/>
      <c r="D117" s="240"/>
      <c r="E117" s="240"/>
      <c r="F117" s="240"/>
      <c r="G117" s="240"/>
      <c r="H117" s="240"/>
      <c r="I117" s="240"/>
      <c r="J117" s="239"/>
      <c r="K117" s="239"/>
      <c r="L117" s="239"/>
      <c r="M117" s="240"/>
      <c r="N117" s="240"/>
      <c r="O117" s="240"/>
      <c r="P117" s="240"/>
      <c r="Q117" s="240"/>
      <c r="R117" s="239"/>
      <c r="S117" s="239"/>
      <c r="T117" s="239"/>
      <c r="U117" s="239"/>
      <c r="V117" s="239"/>
      <c r="W117" s="239"/>
      <c r="X117" s="239"/>
      <c r="Y117" s="239"/>
      <c r="Z117" s="239"/>
      <c r="AA117" s="239"/>
      <c r="AB117" s="239"/>
      <c r="AC117" s="239"/>
      <c r="AD117" s="239"/>
      <c r="AE117" s="239"/>
      <c r="AF117" s="239"/>
      <c r="AG117" s="239"/>
      <c r="AH117" s="239"/>
      <c r="AI117" s="239"/>
      <c r="AJ117" s="239"/>
      <c r="AK117" s="239"/>
    </row>
    <row r="118" spans="1:37" ht="15.75" customHeight="1">
      <c r="A118" s="239"/>
      <c r="B118" s="239"/>
      <c r="C118" s="239"/>
      <c r="D118" s="240"/>
      <c r="E118" s="240"/>
      <c r="F118" s="240"/>
      <c r="G118" s="240"/>
      <c r="H118" s="240"/>
      <c r="I118" s="240"/>
      <c r="J118" s="239"/>
      <c r="K118" s="239"/>
      <c r="L118" s="239"/>
      <c r="M118" s="240"/>
      <c r="N118" s="240"/>
      <c r="O118" s="240"/>
      <c r="P118" s="240"/>
      <c r="Q118" s="240"/>
      <c r="R118" s="239"/>
      <c r="S118" s="239"/>
      <c r="T118" s="239"/>
      <c r="U118" s="239"/>
      <c r="V118" s="239"/>
      <c r="W118" s="239"/>
      <c r="X118" s="239"/>
      <c r="Y118" s="239"/>
      <c r="Z118" s="239"/>
      <c r="AA118" s="239"/>
      <c r="AB118" s="239"/>
      <c r="AC118" s="239"/>
      <c r="AD118" s="239"/>
      <c r="AE118" s="239"/>
      <c r="AF118" s="239"/>
      <c r="AG118" s="239"/>
      <c r="AH118" s="239"/>
      <c r="AI118" s="239"/>
      <c r="AJ118" s="239"/>
      <c r="AK118" s="239"/>
    </row>
    <row r="119" spans="1:37" ht="15.75" customHeight="1">
      <c r="A119" s="239"/>
      <c r="B119" s="239"/>
      <c r="C119" s="239"/>
      <c r="D119" s="240"/>
      <c r="E119" s="240"/>
      <c r="F119" s="240"/>
      <c r="G119" s="240"/>
      <c r="H119" s="240"/>
      <c r="I119" s="240"/>
      <c r="J119" s="239"/>
      <c r="K119" s="239"/>
      <c r="L119" s="239"/>
      <c r="M119" s="240"/>
      <c r="N119" s="240"/>
      <c r="O119" s="240"/>
      <c r="P119" s="240"/>
      <c r="Q119" s="240"/>
      <c r="R119" s="239"/>
      <c r="S119" s="239"/>
      <c r="T119" s="239"/>
      <c r="U119" s="239"/>
      <c r="V119" s="239"/>
      <c r="W119" s="239"/>
      <c r="X119" s="239"/>
      <c r="Y119" s="239"/>
      <c r="Z119" s="239"/>
      <c r="AA119" s="239"/>
      <c r="AB119" s="239"/>
      <c r="AC119" s="239"/>
      <c r="AD119" s="239"/>
      <c r="AE119" s="239"/>
      <c r="AF119" s="239"/>
      <c r="AG119" s="239"/>
      <c r="AH119" s="239"/>
      <c r="AI119" s="239"/>
      <c r="AJ119" s="239"/>
      <c r="AK119" s="239"/>
    </row>
    <row r="120" spans="1:37" ht="15.75" customHeight="1">
      <c r="A120" s="239"/>
      <c r="B120" s="239"/>
      <c r="C120" s="239"/>
      <c r="D120" s="240"/>
      <c r="E120" s="240"/>
      <c r="F120" s="240"/>
      <c r="G120" s="240"/>
      <c r="H120" s="240"/>
      <c r="I120" s="240"/>
      <c r="J120" s="239"/>
      <c r="K120" s="239"/>
      <c r="L120" s="239"/>
      <c r="M120" s="240"/>
      <c r="N120" s="240"/>
      <c r="O120" s="240"/>
      <c r="P120" s="240"/>
      <c r="Q120" s="240"/>
      <c r="R120" s="239"/>
      <c r="S120" s="239"/>
      <c r="T120" s="239"/>
      <c r="U120" s="239"/>
      <c r="V120" s="239"/>
      <c r="W120" s="239"/>
      <c r="X120" s="239"/>
      <c r="Y120" s="239"/>
      <c r="Z120" s="239"/>
      <c r="AA120" s="239"/>
      <c r="AB120" s="239"/>
      <c r="AC120" s="239"/>
      <c r="AD120" s="239"/>
      <c r="AE120" s="239"/>
      <c r="AF120" s="239"/>
      <c r="AG120" s="239"/>
      <c r="AH120" s="239"/>
      <c r="AI120" s="239"/>
      <c r="AJ120" s="239"/>
      <c r="AK120" s="239"/>
    </row>
    <row r="121" spans="1:37" ht="15.75" customHeight="1">
      <c r="A121" s="239"/>
      <c r="B121" s="239"/>
      <c r="C121" s="239"/>
      <c r="D121" s="240"/>
      <c r="E121" s="240"/>
      <c r="F121" s="240"/>
      <c r="G121" s="240"/>
      <c r="H121" s="240"/>
      <c r="I121" s="240"/>
      <c r="J121" s="239"/>
      <c r="K121" s="239"/>
      <c r="L121" s="239"/>
      <c r="M121" s="240"/>
      <c r="N121" s="240"/>
      <c r="O121" s="240"/>
      <c r="P121" s="240"/>
      <c r="Q121" s="240"/>
      <c r="R121" s="239"/>
      <c r="S121" s="239"/>
      <c r="T121" s="239"/>
      <c r="U121" s="239"/>
      <c r="V121" s="239"/>
      <c r="W121" s="239"/>
      <c r="X121" s="239"/>
      <c r="Y121" s="239"/>
      <c r="Z121" s="239"/>
      <c r="AA121" s="239"/>
      <c r="AB121" s="239"/>
      <c r="AC121" s="239"/>
      <c r="AD121" s="239"/>
      <c r="AE121" s="239"/>
      <c r="AF121" s="239"/>
      <c r="AG121" s="239"/>
      <c r="AH121" s="239"/>
      <c r="AI121" s="239"/>
      <c r="AJ121" s="239"/>
      <c r="AK121" s="239"/>
    </row>
    <row r="122" spans="1:37" ht="15.75" customHeight="1">
      <c r="A122" s="239"/>
      <c r="B122" s="239"/>
      <c r="C122" s="239"/>
      <c r="D122" s="240"/>
      <c r="E122" s="240"/>
      <c r="F122" s="240"/>
      <c r="G122" s="240"/>
      <c r="H122" s="240"/>
      <c r="I122" s="240"/>
      <c r="J122" s="239"/>
      <c r="K122" s="239"/>
      <c r="L122" s="239"/>
      <c r="M122" s="240"/>
      <c r="N122" s="240"/>
      <c r="O122" s="240"/>
      <c r="P122" s="240"/>
      <c r="Q122" s="240"/>
      <c r="R122" s="239"/>
      <c r="S122" s="239"/>
      <c r="T122" s="239"/>
      <c r="U122" s="239"/>
      <c r="V122" s="239"/>
      <c r="W122" s="239"/>
      <c r="X122" s="239"/>
      <c r="Y122" s="239"/>
      <c r="Z122" s="239"/>
      <c r="AA122" s="239"/>
      <c r="AB122" s="239"/>
      <c r="AC122" s="239"/>
      <c r="AD122" s="239"/>
      <c r="AE122" s="239"/>
      <c r="AF122" s="239"/>
      <c r="AG122" s="239"/>
      <c r="AH122" s="239"/>
      <c r="AI122" s="239"/>
      <c r="AJ122" s="239"/>
      <c r="AK122" s="239"/>
    </row>
    <row r="123" spans="1:37" ht="15.75" customHeight="1">
      <c r="A123" s="239"/>
      <c r="B123" s="239"/>
      <c r="C123" s="239"/>
      <c r="D123" s="240"/>
      <c r="E123" s="240"/>
      <c r="F123" s="240"/>
      <c r="G123" s="240"/>
      <c r="H123" s="240"/>
      <c r="I123" s="240"/>
      <c r="J123" s="239"/>
      <c r="K123" s="239"/>
      <c r="L123" s="239"/>
      <c r="M123" s="240"/>
      <c r="N123" s="240"/>
      <c r="O123" s="240"/>
      <c r="P123" s="240"/>
      <c r="Q123" s="240"/>
      <c r="R123" s="239"/>
      <c r="S123" s="239"/>
      <c r="T123" s="239"/>
      <c r="U123" s="239"/>
      <c r="V123" s="239"/>
      <c r="W123" s="239"/>
      <c r="X123" s="239"/>
      <c r="Y123" s="239"/>
      <c r="Z123" s="239"/>
      <c r="AA123" s="239"/>
      <c r="AB123" s="239"/>
      <c r="AC123" s="239"/>
      <c r="AD123" s="239"/>
      <c r="AE123" s="239"/>
      <c r="AF123" s="239"/>
      <c r="AG123" s="239"/>
      <c r="AH123" s="239"/>
      <c r="AI123" s="239"/>
      <c r="AJ123" s="239"/>
      <c r="AK123" s="239"/>
    </row>
    <row r="124" spans="1:37" ht="15.75" customHeight="1">
      <c r="A124" s="239"/>
      <c r="B124" s="239"/>
      <c r="C124" s="239"/>
      <c r="D124" s="240"/>
      <c r="E124" s="240"/>
      <c r="F124" s="240"/>
      <c r="G124" s="240"/>
      <c r="H124" s="240"/>
      <c r="I124" s="240"/>
      <c r="J124" s="239"/>
      <c r="K124" s="239"/>
      <c r="L124" s="239"/>
      <c r="M124" s="240"/>
      <c r="N124" s="240"/>
      <c r="O124" s="240"/>
      <c r="P124" s="240"/>
      <c r="Q124" s="240"/>
      <c r="R124" s="239"/>
      <c r="S124" s="239"/>
      <c r="T124" s="239"/>
      <c r="U124" s="239"/>
      <c r="V124" s="239"/>
      <c r="W124" s="239"/>
      <c r="X124" s="239"/>
      <c r="Y124" s="239"/>
      <c r="Z124" s="239"/>
      <c r="AA124" s="239"/>
      <c r="AB124" s="239"/>
      <c r="AC124" s="239"/>
      <c r="AD124" s="239"/>
      <c r="AE124" s="239"/>
      <c r="AF124" s="239"/>
      <c r="AG124" s="239"/>
      <c r="AH124" s="239"/>
      <c r="AI124" s="239"/>
      <c r="AJ124" s="239"/>
      <c r="AK124" s="239"/>
    </row>
    <row r="125" spans="1:37" ht="15.75" customHeight="1">
      <c r="A125" s="239"/>
      <c r="B125" s="239"/>
      <c r="C125" s="239"/>
      <c r="D125" s="240"/>
      <c r="E125" s="240"/>
      <c r="F125" s="240"/>
      <c r="G125" s="240"/>
      <c r="H125" s="240"/>
      <c r="I125" s="240"/>
      <c r="J125" s="239"/>
      <c r="K125" s="239"/>
      <c r="L125" s="239"/>
      <c r="M125" s="240"/>
      <c r="N125" s="240"/>
      <c r="O125" s="240"/>
      <c r="P125" s="240"/>
      <c r="Q125" s="240"/>
      <c r="R125" s="239"/>
      <c r="S125" s="239"/>
      <c r="T125" s="239"/>
      <c r="U125" s="239"/>
      <c r="V125" s="239"/>
      <c r="W125" s="239"/>
      <c r="X125" s="239"/>
      <c r="Y125" s="239"/>
      <c r="Z125" s="239"/>
      <c r="AA125" s="239"/>
      <c r="AB125" s="239"/>
      <c r="AC125" s="239"/>
      <c r="AD125" s="239"/>
      <c r="AE125" s="239"/>
      <c r="AF125" s="239"/>
      <c r="AG125" s="239"/>
      <c r="AH125" s="239"/>
      <c r="AI125" s="239"/>
      <c r="AJ125" s="239"/>
      <c r="AK125" s="239"/>
    </row>
    <row r="126" spans="1:37" ht="15.75" customHeight="1">
      <c r="A126" s="239"/>
      <c r="B126" s="239"/>
      <c r="C126" s="239"/>
      <c r="D126" s="240"/>
      <c r="E126" s="240"/>
      <c r="F126" s="240"/>
      <c r="G126" s="240"/>
      <c r="H126" s="240"/>
      <c r="I126" s="240"/>
      <c r="J126" s="239"/>
      <c r="K126" s="239"/>
      <c r="L126" s="239"/>
      <c r="M126" s="240"/>
      <c r="N126" s="240"/>
      <c r="O126" s="240"/>
      <c r="P126" s="240"/>
      <c r="Q126" s="240"/>
      <c r="R126" s="239"/>
      <c r="S126" s="239"/>
      <c r="T126" s="239"/>
      <c r="U126" s="239"/>
      <c r="V126" s="239"/>
      <c r="W126" s="239"/>
      <c r="X126" s="239"/>
      <c r="Y126" s="239"/>
      <c r="Z126" s="239"/>
      <c r="AA126" s="239"/>
      <c r="AB126" s="239"/>
      <c r="AC126" s="239"/>
      <c r="AD126" s="239"/>
      <c r="AE126" s="239"/>
      <c r="AF126" s="239"/>
      <c r="AG126" s="239"/>
      <c r="AH126" s="239"/>
      <c r="AI126" s="239"/>
      <c r="AJ126" s="239"/>
      <c r="AK126" s="239"/>
    </row>
    <row r="127" spans="1:37" ht="15.75" customHeight="1">
      <c r="A127" s="239"/>
      <c r="B127" s="239"/>
      <c r="C127" s="239"/>
      <c r="D127" s="240"/>
      <c r="E127" s="240"/>
      <c r="F127" s="240"/>
      <c r="G127" s="240"/>
      <c r="H127" s="240"/>
      <c r="I127" s="240"/>
      <c r="J127" s="239"/>
      <c r="K127" s="239"/>
      <c r="L127" s="239"/>
      <c r="M127" s="240"/>
      <c r="N127" s="240"/>
      <c r="O127" s="240"/>
      <c r="P127" s="240"/>
      <c r="Q127" s="240"/>
      <c r="R127" s="239"/>
      <c r="S127" s="239"/>
      <c r="T127" s="239"/>
      <c r="U127" s="239"/>
      <c r="V127" s="239"/>
      <c r="W127" s="239"/>
      <c r="X127" s="239"/>
      <c r="Y127" s="239"/>
      <c r="Z127" s="239"/>
      <c r="AA127" s="239"/>
      <c r="AB127" s="239"/>
      <c r="AC127" s="239"/>
      <c r="AD127" s="239"/>
      <c r="AE127" s="239"/>
      <c r="AF127" s="239"/>
      <c r="AG127" s="239"/>
      <c r="AH127" s="239"/>
      <c r="AI127" s="239"/>
      <c r="AJ127" s="239"/>
      <c r="AK127" s="239"/>
    </row>
    <row r="128" spans="1:37" ht="15.75" customHeight="1">
      <c r="A128" s="239"/>
      <c r="B128" s="239"/>
      <c r="C128" s="239"/>
      <c r="D128" s="240"/>
      <c r="E128" s="240"/>
      <c r="F128" s="240"/>
      <c r="G128" s="240"/>
      <c r="H128" s="240"/>
      <c r="I128" s="240"/>
      <c r="J128" s="239"/>
      <c r="K128" s="239"/>
      <c r="L128" s="239"/>
      <c r="M128" s="240"/>
      <c r="N128" s="240"/>
      <c r="O128" s="240"/>
      <c r="P128" s="240"/>
      <c r="Q128" s="240"/>
      <c r="R128" s="239"/>
      <c r="S128" s="239"/>
      <c r="T128" s="239"/>
      <c r="U128" s="239"/>
      <c r="V128" s="239"/>
      <c r="W128" s="239"/>
      <c r="X128" s="239"/>
      <c r="Y128" s="239"/>
      <c r="Z128" s="239"/>
      <c r="AA128" s="239"/>
      <c r="AB128" s="239"/>
      <c r="AC128" s="239"/>
      <c r="AD128" s="239"/>
      <c r="AE128" s="239"/>
      <c r="AF128" s="239"/>
      <c r="AG128" s="239"/>
      <c r="AH128" s="239"/>
      <c r="AI128" s="239"/>
      <c r="AJ128" s="239"/>
      <c r="AK128" s="239"/>
    </row>
    <row r="129" spans="1:37" ht="15.75" customHeight="1">
      <c r="A129" s="239"/>
      <c r="B129" s="239"/>
      <c r="C129" s="239"/>
      <c r="D129" s="240"/>
      <c r="E129" s="240"/>
      <c r="F129" s="240"/>
      <c r="G129" s="240"/>
      <c r="H129" s="240"/>
      <c r="I129" s="240"/>
      <c r="J129" s="239"/>
      <c r="K129" s="239"/>
      <c r="L129" s="239"/>
      <c r="M129" s="240"/>
      <c r="N129" s="240"/>
      <c r="O129" s="240"/>
      <c r="P129" s="240"/>
      <c r="Q129" s="240"/>
      <c r="R129" s="239"/>
      <c r="S129" s="239"/>
      <c r="T129" s="239"/>
      <c r="U129" s="239"/>
      <c r="V129" s="239"/>
      <c r="W129" s="239"/>
      <c r="X129" s="239"/>
      <c r="Y129" s="239"/>
      <c r="Z129" s="239"/>
      <c r="AA129" s="239"/>
      <c r="AB129" s="239"/>
      <c r="AC129" s="239"/>
      <c r="AD129" s="239"/>
      <c r="AE129" s="239"/>
      <c r="AF129" s="239"/>
      <c r="AG129" s="239"/>
      <c r="AH129" s="239"/>
      <c r="AI129" s="239"/>
      <c r="AJ129" s="239"/>
      <c r="AK129" s="239"/>
    </row>
    <row r="130" spans="1:37" ht="15.75" customHeight="1">
      <c r="A130" s="239"/>
      <c r="B130" s="239"/>
      <c r="C130" s="239"/>
      <c r="D130" s="240"/>
      <c r="E130" s="240"/>
      <c r="F130" s="240"/>
      <c r="G130" s="240"/>
      <c r="H130" s="240"/>
      <c r="I130" s="240"/>
      <c r="J130" s="239"/>
      <c r="K130" s="239"/>
      <c r="L130" s="239"/>
      <c r="M130" s="240"/>
      <c r="N130" s="240"/>
      <c r="O130" s="240"/>
      <c r="P130" s="240"/>
      <c r="Q130" s="240"/>
      <c r="R130" s="239"/>
      <c r="S130" s="239"/>
      <c r="T130" s="239"/>
      <c r="U130" s="239"/>
      <c r="V130" s="239"/>
      <c r="W130" s="239"/>
      <c r="X130" s="239"/>
      <c r="Y130" s="239"/>
      <c r="Z130" s="239"/>
      <c r="AA130" s="239"/>
      <c r="AB130" s="239"/>
      <c r="AC130" s="239"/>
      <c r="AD130" s="239"/>
      <c r="AE130" s="239"/>
      <c r="AF130" s="239"/>
      <c r="AG130" s="239"/>
      <c r="AH130" s="239"/>
      <c r="AI130" s="239"/>
      <c r="AJ130" s="239"/>
      <c r="AK130" s="239"/>
    </row>
    <row r="131" spans="1:37" ht="15.75" customHeight="1">
      <c r="A131" s="239"/>
      <c r="B131" s="239"/>
      <c r="C131" s="239"/>
      <c r="D131" s="240"/>
      <c r="E131" s="240"/>
      <c r="F131" s="240"/>
      <c r="G131" s="240"/>
      <c r="H131" s="240"/>
      <c r="I131" s="240"/>
      <c r="J131" s="239"/>
      <c r="K131" s="239"/>
      <c r="L131" s="239"/>
      <c r="M131" s="240"/>
      <c r="N131" s="240"/>
      <c r="O131" s="240"/>
      <c r="P131" s="240"/>
      <c r="Q131" s="240"/>
      <c r="R131" s="239"/>
      <c r="S131" s="239"/>
      <c r="T131" s="239"/>
      <c r="U131" s="239"/>
      <c r="V131" s="239"/>
      <c r="W131" s="239"/>
      <c r="X131" s="239"/>
      <c r="Y131" s="239"/>
      <c r="Z131" s="239"/>
      <c r="AA131" s="239"/>
      <c r="AB131" s="239"/>
      <c r="AC131" s="239"/>
      <c r="AD131" s="239"/>
      <c r="AE131" s="239"/>
      <c r="AF131" s="239"/>
      <c r="AG131" s="239"/>
      <c r="AH131" s="239"/>
      <c r="AI131" s="239"/>
      <c r="AJ131" s="239"/>
      <c r="AK131" s="239"/>
    </row>
    <row r="132" spans="1:37" ht="15.75" customHeight="1">
      <c r="A132" s="239"/>
      <c r="B132" s="239"/>
      <c r="C132" s="239"/>
      <c r="D132" s="240"/>
      <c r="E132" s="240"/>
      <c r="F132" s="240"/>
      <c r="G132" s="240"/>
      <c r="H132" s="240"/>
      <c r="I132" s="240"/>
      <c r="J132" s="239"/>
      <c r="K132" s="239"/>
      <c r="L132" s="239"/>
      <c r="M132" s="240"/>
      <c r="N132" s="240"/>
      <c r="O132" s="240"/>
      <c r="P132" s="240"/>
      <c r="Q132" s="240"/>
      <c r="R132" s="239"/>
      <c r="S132" s="239"/>
      <c r="T132" s="239"/>
      <c r="U132" s="239"/>
      <c r="V132" s="239"/>
      <c r="W132" s="239"/>
      <c r="X132" s="239"/>
      <c r="Y132" s="239"/>
      <c r="Z132" s="239"/>
      <c r="AA132" s="239"/>
      <c r="AB132" s="239"/>
      <c r="AC132" s="239"/>
      <c r="AD132" s="239"/>
      <c r="AE132" s="239"/>
      <c r="AF132" s="239"/>
      <c r="AG132" s="239"/>
      <c r="AH132" s="239"/>
      <c r="AI132" s="239"/>
      <c r="AJ132" s="239"/>
      <c r="AK132" s="239"/>
    </row>
    <row r="133" spans="1:37" ht="15.75" customHeight="1">
      <c r="A133" s="239"/>
      <c r="B133" s="239"/>
      <c r="C133" s="239"/>
      <c r="D133" s="240"/>
      <c r="E133" s="240"/>
      <c r="F133" s="240"/>
      <c r="G133" s="240"/>
      <c r="H133" s="240"/>
      <c r="I133" s="240"/>
      <c r="J133" s="239"/>
      <c r="K133" s="239"/>
      <c r="L133" s="239"/>
      <c r="M133" s="240"/>
      <c r="N133" s="240"/>
      <c r="O133" s="240"/>
      <c r="P133" s="240"/>
      <c r="Q133" s="240"/>
      <c r="R133" s="239"/>
      <c r="S133" s="239"/>
      <c r="T133" s="239"/>
      <c r="U133" s="239"/>
      <c r="V133" s="239"/>
      <c r="W133" s="239"/>
      <c r="X133" s="239"/>
      <c r="Y133" s="239"/>
      <c r="Z133" s="239"/>
      <c r="AA133" s="239"/>
      <c r="AB133" s="239"/>
      <c r="AC133" s="239"/>
      <c r="AD133" s="239"/>
      <c r="AE133" s="239"/>
      <c r="AF133" s="239"/>
      <c r="AG133" s="239"/>
      <c r="AH133" s="239"/>
      <c r="AI133" s="239"/>
      <c r="AJ133" s="239"/>
      <c r="AK133" s="239"/>
    </row>
    <row r="134" spans="1:37" ht="15.75" customHeight="1">
      <c r="A134" s="239"/>
      <c r="B134" s="239"/>
      <c r="C134" s="239"/>
      <c r="D134" s="240"/>
      <c r="E134" s="240"/>
      <c r="F134" s="240"/>
      <c r="G134" s="240"/>
      <c r="H134" s="240"/>
      <c r="I134" s="240"/>
      <c r="J134" s="239"/>
      <c r="K134" s="239"/>
      <c r="L134" s="239"/>
      <c r="M134" s="240"/>
      <c r="N134" s="240"/>
      <c r="O134" s="240"/>
      <c r="P134" s="240"/>
      <c r="Q134" s="240"/>
      <c r="R134" s="239"/>
      <c r="S134" s="239"/>
      <c r="T134" s="239"/>
      <c r="U134" s="239"/>
      <c r="V134" s="239"/>
      <c r="W134" s="239"/>
      <c r="X134" s="239"/>
      <c r="Y134" s="239"/>
      <c r="Z134" s="239"/>
      <c r="AA134" s="239"/>
      <c r="AB134" s="239"/>
      <c r="AC134" s="239"/>
      <c r="AD134" s="239"/>
      <c r="AE134" s="239"/>
      <c r="AF134" s="239"/>
      <c r="AG134" s="239"/>
      <c r="AH134" s="239"/>
      <c r="AI134" s="239"/>
      <c r="AJ134" s="239"/>
      <c r="AK134" s="239"/>
    </row>
    <row r="135" spans="1:37" ht="15.75" customHeight="1">
      <c r="A135" s="239"/>
      <c r="B135" s="239"/>
      <c r="C135" s="239"/>
      <c r="D135" s="240"/>
      <c r="E135" s="240"/>
      <c r="F135" s="240"/>
      <c r="G135" s="240"/>
      <c r="H135" s="240"/>
      <c r="I135" s="240"/>
      <c r="J135" s="239"/>
      <c r="K135" s="239"/>
      <c r="L135" s="239"/>
      <c r="M135" s="240"/>
      <c r="N135" s="240"/>
      <c r="O135" s="240"/>
      <c r="P135" s="240"/>
      <c r="Q135" s="240"/>
      <c r="R135" s="239"/>
      <c r="S135" s="239"/>
      <c r="T135" s="239"/>
      <c r="U135" s="239"/>
      <c r="V135" s="239"/>
      <c r="W135" s="239"/>
      <c r="X135" s="239"/>
      <c r="Y135" s="239"/>
      <c r="Z135" s="239"/>
      <c r="AA135" s="239"/>
      <c r="AB135" s="239"/>
      <c r="AC135" s="239"/>
      <c r="AD135" s="239"/>
      <c r="AE135" s="239"/>
      <c r="AF135" s="239"/>
      <c r="AG135" s="239"/>
      <c r="AH135" s="239"/>
      <c r="AI135" s="239"/>
      <c r="AJ135" s="239"/>
      <c r="AK135" s="239"/>
    </row>
    <row r="136" spans="1:37" ht="15.75" customHeight="1">
      <c r="A136" s="239"/>
      <c r="B136" s="239"/>
      <c r="C136" s="239"/>
      <c r="D136" s="240"/>
      <c r="E136" s="240"/>
      <c r="F136" s="240"/>
      <c r="G136" s="240"/>
      <c r="H136" s="240"/>
      <c r="I136" s="240"/>
      <c r="J136" s="239"/>
      <c r="K136" s="239"/>
      <c r="L136" s="239"/>
      <c r="M136" s="240"/>
      <c r="N136" s="240"/>
      <c r="O136" s="240"/>
      <c r="P136" s="240"/>
      <c r="Q136" s="240"/>
      <c r="R136" s="239"/>
      <c r="S136" s="239"/>
      <c r="T136" s="239"/>
      <c r="U136" s="239"/>
      <c r="V136" s="239"/>
      <c r="W136" s="239"/>
      <c r="X136" s="239"/>
      <c r="Y136" s="239"/>
      <c r="Z136" s="239"/>
      <c r="AA136" s="239"/>
      <c r="AB136" s="239"/>
      <c r="AC136" s="239"/>
      <c r="AD136" s="239"/>
      <c r="AE136" s="239"/>
      <c r="AF136" s="239"/>
      <c r="AG136" s="239"/>
      <c r="AH136" s="239"/>
      <c r="AI136" s="239"/>
      <c r="AJ136" s="239"/>
      <c r="AK136" s="239"/>
    </row>
    <row r="137" spans="1:37" ht="15.75" customHeight="1">
      <c r="A137" s="239"/>
      <c r="B137" s="239"/>
      <c r="C137" s="239"/>
      <c r="D137" s="240"/>
      <c r="E137" s="240"/>
      <c r="F137" s="240"/>
      <c r="G137" s="240"/>
      <c r="H137" s="240"/>
      <c r="I137" s="240"/>
      <c r="J137" s="239"/>
      <c r="K137" s="239"/>
      <c r="L137" s="239"/>
      <c r="M137" s="240"/>
      <c r="N137" s="240"/>
      <c r="O137" s="240"/>
      <c r="P137" s="240"/>
      <c r="Q137" s="240"/>
      <c r="R137" s="239"/>
      <c r="S137" s="239"/>
      <c r="T137" s="239"/>
      <c r="U137" s="239"/>
      <c r="V137" s="239"/>
      <c r="W137" s="239"/>
      <c r="X137" s="239"/>
      <c r="Y137" s="239"/>
      <c r="Z137" s="239"/>
      <c r="AA137" s="239"/>
      <c r="AB137" s="239"/>
      <c r="AC137" s="239"/>
      <c r="AD137" s="239"/>
      <c r="AE137" s="239"/>
      <c r="AF137" s="239"/>
      <c r="AG137" s="239"/>
      <c r="AH137" s="239"/>
      <c r="AI137" s="239"/>
      <c r="AJ137" s="239"/>
      <c r="AK137" s="239"/>
    </row>
    <row r="138" spans="1:37" ht="15.75" customHeight="1">
      <c r="A138" s="239"/>
      <c r="B138" s="239"/>
      <c r="C138" s="239"/>
      <c r="D138" s="240"/>
      <c r="E138" s="240"/>
      <c r="F138" s="240"/>
      <c r="G138" s="240"/>
      <c r="H138" s="240"/>
      <c r="I138" s="240"/>
      <c r="J138" s="239"/>
      <c r="K138" s="239"/>
      <c r="L138" s="239"/>
      <c r="M138" s="240"/>
      <c r="N138" s="240"/>
      <c r="O138" s="240"/>
      <c r="P138" s="240"/>
      <c r="Q138" s="240"/>
      <c r="R138" s="239"/>
      <c r="S138" s="239"/>
      <c r="T138" s="239"/>
      <c r="U138" s="239"/>
      <c r="V138" s="239"/>
      <c r="W138" s="239"/>
      <c r="X138" s="239"/>
      <c r="Y138" s="239"/>
      <c r="Z138" s="239"/>
      <c r="AA138" s="239"/>
      <c r="AB138" s="239"/>
      <c r="AC138" s="239"/>
      <c r="AD138" s="239"/>
      <c r="AE138" s="239"/>
      <c r="AF138" s="239"/>
      <c r="AG138" s="239"/>
      <c r="AH138" s="239"/>
      <c r="AI138" s="239"/>
      <c r="AJ138" s="239"/>
      <c r="AK138" s="239"/>
    </row>
    <row r="139" spans="1:37" ht="15.75" customHeight="1">
      <c r="A139" s="239"/>
      <c r="B139" s="239"/>
      <c r="C139" s="239"/>
      <c r="D139" s="240"/>
      <c r="E139" s="240"/>
      <c r="F139" s="240"/>
      <c r="G139" s="240"/>
      <c r="H139" s="240"/>
      <c r="I139" s="240"/>
      <c r="J139" s="239"/>
      <c r="K139" s="239"/>
      <c r="L139" s="239"/>
      <c r="M139" s="240"/>
      <c r="N139" s="240"/>
      <c r="O139" s="240"/>
      <c r="P139" s="240"/>
      <c r="Q139" s="240"/>
      <c r="R139" s="239"/>
      <c r="S139" s="239"/>
      <c r="T139" s="239"/>
      <c r="U139" s="239"/>
      <c r="V139" s="239"/>
      <c r="W139" s="239"/>
      <c r="X139" s="239"/>
      <c r="Y139" s="239"/>
      <c r="Z139" s="239"/>
      <c r="AA139" s="239"/>
      <c r="AB139" s="239"/>
      <c r="AC139" s="239"/>
      <c r="AD139" s="239"/>
      <c r="AE139" s="239"/>
      <c r="AF139" s="239"/>
      <c r="AG139" s="239"/>
      <c r="AH139" s="239"/>
      <c r="AI139" s="239"/>
      <c r="AJ139" s="239"/>
      <c r="AK139" s="239"/>
    </row>
    <row r="140" spans="1:37" ht="15.75" customHeight="1">
      <c r="A140" s="239"/>
      <c r="B140" s="239"/>
      <c r="C140" s="239"/>
      <c r="D140" s="240"/>
      <c r="E140" s="240"/>
      <c r="F140" s="240"/>
      <c r="G140" s="240"/>
      <c r="H140" s="240"/>
      <c r="I140" s="240"/>
      <c r="J140" s="239"/>
      <c r="K140" s="239"/>
      <c r="L140" s="239"/>
      <c r="M140" s="240"/>
      <c r="N140" s="240"/>
      <c r="O140" s="240"/>
      <c r="P140" s="240"/>
      <c r="Q140" s="240"/>
      <c r="R140" s="239"/>
      <c r="S140" s="239"/>
      <c r="T140" s="239"/>
      <c r="U140" s="239"/>
      <c r="V140" s="239"/>
      <c r="W140" s="239"/>
      <c r="X140" s="239"/>
      <c r="Y140" s="239"/>
      <c r="Z140" s="239"/>
      <c r="AA140" s="239"/>
      <c r="AB140" s="239"/>
      <c r="AC140" s="239"/>
      <c r="AD140" s="239"/>
      <c r="AE140" s="239"/>
      <c r="AF140" s="239"/>
      <c r="AG140" s="239"/>
      <c r="AH140" s="239"/>
      <c r="AI140" s="239"/>
      <c r="AJ140" s="239"/>
      <c r="AK140" s="239"/>
    </row>
    <row r="141" spans="1:37" ht="15.75" customHeight="1">
      <c r="A141" s="239"/>
      <c r="B141" s="239"/>
      <c r="C141" s="239"/>
      <c r="D141" s="240"/>
      <c r="E141" s="240"/>
      <c r="F141" s="240"/>
      <c r="G141" s="240"/>
      <c r="H141" s="240"/>
      <c r="I141" s="240"/>
      <c r="J141" s="239"/>
      <c r="K141" s="239"/>
      <c r="L141" s="239"/>
      <c r="M141" s="240"/>
      <c r="N141" s="240"/>
      <c r="O141" s="240"/>
      <c r="P141" s="240"/>
      <c r="Q141" s="240"/>
      <c r="R141" s="239"/>
      <c r="S141" s="239"/>
      <c r="T141" s="239"/>
      <c r="U141" s="239"/>
      <c r="V141" s="239"/>
      <c r="W141" s="239"/>
      <c r="X141" s="239"/>
      <c r="Y141" s="239"/>
      <c r="Z141" s="239"/>
      <c r="AA141" s="239"/>
      <c r="AB141" s="239"/>
      <c r="AC141" s="239"/>
      <c r="AD141" s="239"/>
      <c r="AE141" s="239"/>
      <c r="AF141" s="239"/>
      <c r="AG141" s="239"/>
      <c r="AH141" s="239"/>
      <c r="AI141" s="239"/>
      <c r="AJ141" s="239"/>
      <c r="AK141" s="239"/>
    </row>
    <row r="142" spans="1:37" ht="15.75" customHeight="1">
      <c r="A142" s="239"/>
      <c r="B142" s="239"/>
      <c r="C142" s="239"/>
      <c r="D142" s="240"/>
      <c r="E142" s="240"/>
      <c r="F142" s="240"/>
      <c r="G142" s="240"/>
      <c r="H142" s="240"/>
      <c r="I142" s="240"/>
      <c r="J142" s="239"/>
      <c r="K142" s="239"/>
      <c r="L142" s="239"/>
      <c r="M142" s="240"/>
      <c r="N142" s="240"/>
      <c r="O142" s="240"/>
      <c r="P142" s="240"/>
      <c r="Q142" s="240"/>
      <c r="R142" s="239"/>
      <c r="S142" s="239"/>
      <c r="T142" s="239"/>
      <c r="U142" s="239"/>
      <c r="V142" s="239"/>
      <c r="W142" s="239"/>
      <c r="X142" s="239"/>
      <c r="Y142" s="239"/>
      <c r="Z142" s="239"/>
      <c r="AA142" s="239"/>
      <c r="AB142" s="239"/>
      <c r="AC142" s="239"/>
      <c r="AD142" s="239"/>
      <c r="AE142" s="239"/>
      <c r="AF142" s="239"/>
      <c r="AG142" s="239"/>
      <c r="AH142" s="239"/>
      <c r="AI142" s="239"/>
      <c r="AJ142" s="239"/>
      <c r="AK142" s="239"/>
    </row>
    <row r="143" spans="1:37" ht="15.75" customHeight="1">
      <c r="A143" s="239"/>
      <c r="B143" s="239"/>
      <c r="C143" s="239"/>
      <c r="D143" s="240"/>
      <c r="E143" s="240"/>
      <c r="F143" s="240"/>
      <c r="G143" s="240"/>
      <c r="H143" s="240"/>
      <c r="I143" s="240"/>
      <c r="J143" s="239"/>
      <c r="K143" s="239"/>
      <c r="L143" s="239"/>
      <c r="M143" s="240"/>
      <c r="N143" s="240"/>
      <c r="O143" s="240"/>
      <c r="P143" s="240"/>
      <c r="Q143" s="240"/>
      <c r="R143" s="239"/>
      <c r="S143" s="239"/>
      <c r="T143" s="239"/>
      <c r="U143" s="239"/>
      <c r="V143" s="239"/>
      <c r="W143" s="239"/>
      <c r="X143" s="239"/>
      <c r="Y143" s="239"/>
      <c r="Z143" s="239"/>
      <c r="AA143" s="239"/>
      <c r="AB143" s="239"/>
      <c r="AC143" s="239"/>
      <c r="AD143" s="239"/>
      <c r="AE143" s="239"/>
      <c r="AF143" s="239"/>
      <c r="AG143" s="239"/>
      <c r="AH143" s="239"/>
      <c r="AI143" s="239"/>
      <c r="AJ143" s="239"/>
      <c r="AK143" s="239"/>
    </row>
    <row r="144" spans="1:37" ht="15.75" customHeight="1">
      <c r="A144" s="239"/>
      <c r="B144" s="239"/>
      <c r="C144" s="239"/>
      <c r="D144" s="240"/>
      <c r="E144" s="240"/>
      <c r="F144" s="240"/>
      <c r="G144" s="240"/>
      <c r="H144" s="240"/>
      <c r="I144" s="240"/>
      <c r="J144" s="239"/>
      <c r="K144" s="239"/>
      <c r="L144" s="239"/>
      <c r="M144" s="240"/>
      <c r="N144" s="240"/>
      <c r="O144" s="240"/>
      <c r="P144" s="240"/>
      <c r="Q144" s="240"/>
      <c r="R144" s="239"/>
      <c r="S144" s="239"/>
      <c r="T144" s="239"/>
      <c r="U144" s="239"/>
      <c r="V144" s="239"/>
      <c r="W144" s="239"/>
      <c r="X144" s="239"/>
      <c r="Y144" s="239"/>
      <c r="Z144" s="239"/>
      <c r="AA144" s="239"/>
      <c r="AB144" s="239"/>
      <c r="AC144" s="239"/>
      <c r="AD144" s="239"/>
      <c r="AE144" s="239"/>
      <c r="AF144" s="239"/>
      <c r="AG144" s="239"/>
      <c r="AH144" s="239"/>
      <c r="AI144" s="239"/>
      <c r="AJ144" s="239"/>
      <c r="AK144" s="239"/>
    </row>
    <row r="145" spans="1:37" ht="15.75" customHeight="1">
      <c r="A145" s="239"/>
      <c r="B145" s="239"/>
      <c r="C145" s="239"/>
      <c r="D145" s="240"/>
      <c r="E145" s="240"/>
      <c r="F145" s="240"/>
      <c r="G145" s="240"/>
      <c r="H145" s="240"/>
      <c r="I145" s="240"/>
      <c r="J145" s="239"/>
      <c r="K145" s="239"/>
      <c r="L145" s="239"/>
      <c r="M145" s="240"/>
      <c r="N145" s="240"/>
      <c r="O145" s="240"/>
      <c r="P145" s="240"/>
      <c r="Q145" s="240"/>
      <c r="R145" s="239"/>
      <c r="S145" s="239"/>
      <c r="T145" s="239"/>
      <c r="U145" s="239"/>
      <c r="V145" s="239"/>
      <c r="W145" s="239"/>
      <c r="X145" s="239"/>
      <c r="Y145" s="239"/>
      <c r="Z145" s="239"/>
      <c r="AA145" s="239"/>
      <c r="AB145" s="239"/>
      <c r="AC145" s="239"/>
      <c r="AD145" s="239"/>
      <c r="AE145" s="239"/>
      <c r="AF145" s="239"/>
      <c r="AG145" s="239"/>
      <c r="AH145" s="239"/>
      <c r="AI145" s="239"/>
      <c r="AJ145" s="239"/>
      <c r="AK145" s="239"/>
    </row>
    <row r="146" spans="1:37" ht="15.75" customHeight="1">
      <c r="A146" s="239"/>
      <c r="B146" s="239"/>
      <c r="C146" s="239"/>
      <c r="D146" s="240"/>
      <c r="E146" s="240"/>
      <c r="F146" s="240"/>
      <c r="G146" s="240"/>
      <c r="H146" s="240"/>
      <c r="I146" s="240"/>
      <c r="J146" s="239"/>
      <c r="K146" s="239"/>
      <c r="L146" s="239"/>
      <c r="M146" s="240"/>
      <c r="N146" s="240"/>
      <c r="O146" s="240"/>
      <c r="P146" s="240"/>
      <c r="Q146" s="240"/>
      <c r="R146" s="239"/>
      <c r="S146" s="239"/>
      <c r="T146" s="239"/>
      <c r="U146" s="239"/>
      <c r="V146" s="239"/>
      <c r="W146" s="239"/>
      <c r="X146" s="239"/>
      <c r="Y146" s="239"/>
      <c r="Z146" s="239"/>
      <c r="AA146" s="239"/>
      <c r="AB146" s="239"/>
      <c r="AC146" s="239"/>
      <c r="AD146" s="239"/>
      <c r="AE146" s="239"/>
      <c r="AF146" s="239"/>
      <c r="AG146" s="239"/>
      <c r="AH146" s="239"/>
      <c r="AI146" s="239"/>
      <c r="AJ146" s="239"/>
      <c r="AK146" s="239"/>
    </row>
    <row r="147" spans="1:37" ht="15.75" customHeight="1">
      <c r="A147" s="239"/>
      <c r="B147" s="239"/>
      <c r="C147" s="239"/>
      <c r="D147" s="240"/>
      <c r="E147" s="240"/>
      <c r="F147" s="240"/>
      <c r="G147" s="240"/>
      <c r="H147" s="240"/>
      <c r="I147" s="240"/>
      <c r="J147" s="239"/>
      <c r="K147" s="239"/>
      <c r="L147" s="239"/>
      <c r="M147" s="240"/>
      <c r="N147" s="240"/>
      <c r="O147" s="240"/>
      <c r="P147" s="240"/>
      <c r="Q147" s="240"/>
      <c r="R147" s="239"/>
      <c r="S147" s="239"/>
      <c r="T147" s="239"/>
      <c r="U147" s="239"/>
      <c r="V147" s="239"/>
      <c r="W147" s="239"/>
      <c r="X147" s="239"/>
      <c r="Y147" s="239"/>
      <c r="Z147" s="239"/>
      <c r="AA147" s="239"/>
      <c r="AB147" s="239"/>
      <c r="AC147" s="239"/>
      <c r="AD147" s="239"/>
      <c r="AE147" s="239"/>
      <c r="AF147" s="239"/>
      <c r="AG147" s="239"/>
      <c r="AH147" s="239"/>
      <c r="AI147" s="239"/>
      <c r="AJ147" s="239"/>
      <c r="AK147" s="239"/>
    </row>
    <row r="148" spans="1:37" ht="15.75" customHeight="1">
      <c r="A148" s="239"/>
      <c r="B148" s="239"/>
      <c r="C148" s="239"/>
      <c r="D148" s="240"/>
      <c r="E148" s="240"/>
      <c r="F148" s="240"/>
      <c r="G148" s="240"/>
      <c r="H148" s="240"/>
      <c r="I148" s="240"/>
      <c r="J148" s="239"/>
      <c r="K148" s="239"/>
      <c r="L148" s="239"/>
      <c r="M148" s="240"/>
      <c r="N148" s="240"/>
      <c r="O148" s="240"/>
      <c r="P148" s="240"/>
      <c r="Q148" s="240"/>
      <c r="R148" s="239"/>
      <c r="S148" s="239"/>
      <c r="T148" s="239"/>
      <c r="U148" s="239"/>
      <c r="V148" s="239"/>
      <c r="W148" s="239"/>
      <c r="X148" s="239"/>
      <c r="Y148" s="239"/>
      <c r="Z148" s="239"/>
      <c r="AA148" s="239"/>
      <c r="AB148" s="239"/>
      <c r="AC148" s="239"/>
      <c r="AD148" s="239"/>
      <c r="AE148" s="239"/>
      <c r="AF148" s="239"/>
      <c r="AG148" s="239"/>
      <c r="AH148" s="239"/>
      <c r="AI148" s="239"/>
      <c r="AJ148" s="239"/>
      <c r="AK148" s="239"/>
    </row>
    <row r="149" spans="1:37" ht="15.75" customHeight="1">
      <c r="A149" s="239"/>
      <c r="B149" s="239"/>
      <c r="C149" s="239"/>
      <c r="D149" s="240"/>
      <c r="E149" s="240"/>
      <c r="F149" s="240"/>
      <c r="G149" s="240"/>
      <c r="H149" s="240"/>
      <c r="I149" s="240"/>
      <c r="J149" s="239"/>
      <c r="K149" s="239"/>
      <c r="L149" s="239"/>
      <c r="M149" s="240"/>
      <c r="N149" s="240"/>
      <c r="O149" s="240"/>
      <c r="P149" s="240"/>
      <c r="Q149" s="240"/>
      <c r="R149" s="239"/>
      <c r="S149" s="239"/>
      <c r="T149" s="239"/>
      <c r="U149" s="239"/>
      <c r="V149" s="239"/>
      <c r="W149" s="239"/>
      <c r="X149" s="239"/>
      <c r="Y149" s="239"/>
      <c r="Z149" s="239"/>
      <c r="AA149" s="239"/>
      <c r="AB149" s="239"/>
      <c r="AC149" s="239"/>
      <c r="AD149" s="239"/>
      <c r="AE149" s="239"/>
      <c r="AF149" s="239"/>
      <c r="AG149" s="239"/>
      <c r="AH149" s="239"/>
      <c r="AI149" s="239"/>
      <c r="AJ149" s="239"/>
      <c r="AK149" s="239"/>
    </row>
    <row r="150" spans="1:37" ht="15.75" customHeight="1">
      <c r="A150" s="239"/>
      <c r="B150" s="239"/>
      <c r="C150" s="239"/>
      <c r="D150" s="240"/>
      <c r="E150" s="240"/>
      <c r="F150" s="240"/>
      <c r="G150" s="240"/>
      <c r="H150" s="240"/>
      <c r="I150" s="240"/>
      <c r="J150" s="239"/>
      <c r="K150" s="239"/>
      <c r="L150" s="239"/>
      <c r="M150" s="240"/>
      <c r="N150" s="240"/>
      <c r="O150" s="240"/>
      <c r="P150" s="240"/>
      <c r="Q150" s="240"/>
      <c r="R150" s="239"/>
      <c r="S150" s="239"/>
      <c r="T150" s="239"/>
      <c r="U150" s="239"/>
      <c r="V150" s="239"/>
      <c r="W150" s="239"/>
      <c r="X150" s="239"/>
      <c r="Y150" s="239"/>
      <c r="Z150" s="239"/>
      <c r="AA150" s="239"/>
      <c r="AB150" s="239"/>
      <c r="AC150" s="239"/>
      <c r="AD150" s="239"/>
      <c r="AE150" s="239"/>
      <c r="AF150" s="239"/>
      <c r="AG150" s="239"/>
      <c r="AH150" s="239"/>
      <c r="AI150" s="239"/>
      <c r="AJ150" s="239"/>
      <c r="AK150" s="239"/>
    </row>
    <row r="151" spans="1:37" ht="15.75" customHeight="1">
      <c r="A151" s="239"/>
      <c r="B151" s="239"/>
      <c r="C151" s="239"/>
      <c r="D151" s="240"/>
      <c r="E151" s="240"/>
      <c r="F151" s="240"/>
      <c r="G151" s="240"/>
      <c r="H151" s="240"/>
      <c r="I151" s="240"/>
      <c r="J151" s="239"/>
      <c r="K151" s="239"/>
      <c r="L151" s="239"/>
      <c r="M151" s="240"/>
      <c r="N151" s="240"/>
      <c r="O151" s="240"/>
      <c r="P151" s="240"/>
      <c r="Q151" s="240"/>
      <c r="R151" s="239"/>
      <c r="S151" s="239"/>
      <c r="T151" s="239"/>
      <c r="U151" s="239"/>
      <c r="V151" s="239"/>
      <c r="W151" s="239"/>
      <c r="X151" s="239"/>
      <c r="Y151" s="239"/>
      <c r="Z151" s="239"/>
      <c r="AA151" s="239"/>
      <c r="AB151" s="239"/>
      <c r="AC151" s="239"/>
      <c r="AD151" s="239"/>
      <c r="AE151" s="239"/>
      <c r="AF151" s="239"/>
      <c r="AG151" s="239"/>
      <c r="AH151" s="239"/>
      <c r="AI151" s="239"/>
      <c r="AJ151" s="239"/>
      <c r="AK151" s="239"/>
    </row>
    <row r="152" spans="1:37" ht="15.75" customHeight="1">
      <c r="A152" s="239"/>
      <c r="B152" s="239"/>
      <c r="C152" s="239"/>
      <c r="D152" s="240"/>
      <c r="E152" s="240"/>
      <c r="F152" s="240"/>
      <c r="G152" s="240"/>
      <c r="H152" s="240"/>
      <c r="I152" s="240"/>
      <c r="J152" s="239"/>
      <c r="K152" s="239"/>
      <c r="L152" s="239"/>
      <c r="M152" s="240"/>
      <c r="N152" s="240"/>
      <c r="O152" s="240"/>
      <c r="P152" s="240"/>
      <c r="Q152" s="240"/>
      <c r="R152" s="239"/>
      <c r="S152" s="239"/>
      <c r="T152" s="239"/>
      <c r="U152" s="239"/>
      <c r="V152" s="239"/>
      <c r="W152" s="239"/>
      <c r="X152" s="239"/>
      <c r="Y152" s="239"/>
      <c r="Z152" s="239"/>
      <c r="AA152" s="239"/>
      <c r="AB152" s="239"/>
      <c r="AC152" s="239"/>
      <c r="AD152" s="239"/>
      <c r="AE152" s="239"/>
      <c r="AF152" s="239"/>
      <c r="AG152" s="239"/>
      <c r="AH152" s="239"/>
      <c r="AI152" s="239"/>
      <c r="AJ152" s="239"/>
      <c r="AK152" s="239"/>
    </row>
    <row r="153" spans="1:37" ht="15.75" customHeight="1">
      <c r="A153" s="239"/>
      <c r="B153" s="239"/>
      <c r="C153" s="239"/>
      <c r="D153" s="240"/>
      <c r="E153" s="240"/>
      <c r="F153" s="240"/>
      <c r="G153" s="240"/>
      <c r="H153" s="240"/>
      <c r="I153" s="240"/>
      <c r="J153" s="239"/>
      <c r="K153" s="239"/>
      <c r="L153" s="239"/>
      <c r="M153" s="240"/>
      <c r="N153" s="240"/>
      <c r="O153" s="240"/>
      <c r="P153" s="240"/>
      <c r="Q153" s="240"/>
      <c r="R153" s="239"/>
      <c r="S153" s="239"/>
      <c r="T153" s="239"/>
      <c r="U153" s="239"/>
      <c r="V153" s="239"/>
      <c r="W153" s="239"/>
      <c r="X153" s="239"/>
      <c r="Y153" s="239"/>
      <c r="Z153" s="239"/>
      <c r="AA153" s="239"/>
      <c r="AB153" s="239"/>
      <c r="AC153" s="239"/>
      <c r="AD153" s="239"/>
      <c r="AE153" s="239"/>
      <c r="AF153" s="239"/>
      <c r="AG153" s="239"/>
      <c r="AH153" s="239"/>
      <c r="AI153" s="239"/>
      <c r="AJ153" s="239"/>
      <c r="AK153" s="239"/>
    </row>
    <row r="154" spans="1:37" ht="15.75" customHeight="1">
      <c r="A154" s="239"/>
      <c r="B154" s="239"/>
      <c r="C154" s="239"/>
      <c r="D154" s="240"/>
      <c r="E154" s="240"/>
      <c r="F154" s="240"/>
      <c r="G154" s="240"/>
      <c r="H154" s="240"/>
      <c r="I154" s="240"/>
      <c r="J154" s="239"/>
      <c r="K154" s="239"/>
      <c r="L154" s="239"/>
      <c r="M154" s="240"/>
      <c r="N154" s="240"/>
      <c r="O154" s="240"/>
      <c r="P154" s="240"/>
      <c r="Q154" s="240"/>
      <c r="R154" s="239"/>
      <c r="S154" s="239"/>
      <c r="T154" s="239"/>
      <c r="U154" s="239"/>
      <c r="V154" s="239"/>
      <c r="W154" s="239"/>
      <c r="X154" s="239"/>
      <c r="Y154" s="239"/>
      <c r="Z154" s="239"/>
      <c r="AA154" s="239"/>
      <c r="AB154" s="239"/>
      <c r="AC154" s="239"/>
      <c r="AD154" s="239"/>
      <c r="AE154" s="239"/>
      <c r="AF154" s="239"/>
      <c r="AG154" s="239"/>
      <c r="AH154" s="239"/>
      <c r="AI154" s="239"/>
      <c r="AJ154" s="239"/>
      <c r="AK154" s="239"/>
    </row>
    <row r="155" spans="1:37" ht="15.75" customHeight="1">
      <c r="A155" s="239"/>
      <c r="B155" s="239"/>
      <c r="C155" s="239"/>
      <c r="D155" s="240"/>
      <c r="E155" s="240"/>
      <c r="F155" s="240"/>
      <c r="G155" s="240"/>
      <c r="H155" s="240"/>
      <c r="I155" s="240"/>
      <c r="J155" s="239"/>
      <c r="K155" s="239"/>
      <c r="L155" s="239"/>
      <c r="M155" s="240"/>
      <c r="N155" s="240"/>
      <c r="O155" s="240"/>
      <c r="P155" s="240"/>
      <c r="Q155" s="240"/>
      <c r="R155" s="239"/>
      <c r="S155" s="239"/>
      <c r="T155" s="239"/>
      <c r="U155" s="239"/>
      <c r="V155" s="239"/>
      <c r="W155" s="239"/>
      <c r="X155" s="239"/>
      <c r="Y155" s="239"/>
      <c r="Z155" s="239"/>
      <c r="AA155" s="239"/>
      <c r="AB155" s="239"/>
      <c r="AC155" s="239"/>
      <c r="AD155" s="239"/>
      <c r="AE155" s="239"/>
      <c r="AF155" s="239"/>
      <c r="AG155" s="239"/>
      <c r="AH155" s="239"/>
      <c r="AI155" s="239"/>
      <c r="AJ155" s="239"/>
      <c r="AK155" s="239"/>
    </row>
    <row r="156" spans="1:37" ht="15.75" customHeight="1">
      <c r="A156" s="239"/>
      <c r="B156" s="239"/>
      <c r="C156" s="239"/>
      <c r="D156" s="240"/>
      <c r="E156" s="240"/>
      <c r="F156" s="240"/>
      <c r="G156" s="240"/>
      <c r="H156" s="240"/>
      <c r="I156" s="240"/>
      <c r="J156" s="239"/>
      <c r="K156" s="239"/>
      <c r="L156" s="239"/>
      <c r="M156" s="240"/>
      <c r="N156" s="240"/>
      <c r="O156" s="240"/>
      <c r="P156" s="240"/>
      <c r="Q156" s="240"/>
      <c r="R156" s="239"/>
      <c r="S156" s="239"/>
      <c r="T156" s="239"/>
      <c r="U156" s="239"/>
      <c r="V156" s="239"/>
      <c r="W156" s="239"/>
      <c r="X156" s="239"/>
      <c r="Y156" s="239"/>
      <c r="Z156" s="239"/>
      <c r="AA156" s="239"/>
      <c r="AB156" s="239"/>
      <c r="AC156" s="239"/>
      <c r="AD156" s="239"/>
      <c r="AE156" s="239"/>
      <c r="AF156" s="239"/>
      <c r="AG156" s="239"/>
      <c r="AH156" s="239"/>
      <c r="AI156" s="239"/>
      <c r="AJ156" s="239"/>
      <c r="AK156" s="239"/>
    </row>
    <row r="157" spans="1:37" ht="15.75" customHeight="1">
      <c r="A157" s="239"/>
      <c r="B157" s="239"/>
      <c r="C157" s="239"/>
      <c r="D157" s="240"/>
      <c r="E157" s="240"/>
      <c r="F157" s="240"/>
      <c r="G157" s="240"/>
      <c r="H157" s="240"/>
      <c r="I157" s="240"/>
      <c r="J157" s="239"/>
      <c r="K157" s="239"/>
      <c r="L157" s="239"/>
      <c r="M157" s="240"/>
      <c r="N157" s="240"/>
      <c r="O157" s="240"/>
      <c r="P157" s="240"/>
      <c r="Q157" s="240"/>
      <c r="R157" s="239"/>
      <c r="S157" s="239"/>
      <c r="T157" s="239"/>
      <c r="U157" s="239"/>
      <c r="V157" s="239"/>
      <c r="W157" s="239"/>
      <c r="X157" s="239"/>
      <c r="Y157" s="239"/>
      <c r="Z157" s="239"/>
      <c r="AA157" s="239"/>
      <c r="AB157" s="239"/>
      <c r="AC157" s="239"/>
      <c r="AD157" s="239"/>
      <c r="AE157" s="239"/>
      <c r="AF157" s="239"/>
      <c r="AG157" s="239"/>
      <c r="AH157" s="239"/>
      <c r="AI157" s="239"/>
      <c r="AJ157" s="239"/>
      <c r="AK157" s="239"/>
    </row>
    <row r="158" spans="1:37" ht="15.75" customHeight="1">
      <c r="A158" s="239"/>
      <c r="B158" s="239"/>
      <c r="C158" s="239"/>
      <c r="D158" s="240"/>
      <c r="E158" s="240"/>
      <c r="F158" s="240"/>
      <c r="G158" s="240"/>
      <c r="H158" s="240"/>
      <c r="I158" s="240"/>
      <c r="J158" s="239"/>
      <c r="K158" s="239"/>
      <c r="L158" s="239"/>
      <c r="M158" s="240"/>
      <c r="N158" s="240"/>
      <c r="O158" s="240"/>
      <c r="P158" s="240"/>
      <c r="Q158" s="240"/>
      <c r="R158" s="239"/>
      <c r="S158" s="239"/>
      <c r="T158" s="239"/>
      <c r="U158" s="239"/>
      <c r="V158" s="239"/>
      <c r="W158" s="239"/>
      <c r="X158" s="239"/>
      <c r="Y158" s="239"/>
      <c r="Z158" s="239"/>
      <c r="AA158" s="239"/>
      <c r="AB158" s="239"/>
      <c r="AC158" s="239"/>
      <c r="AD158" s="239"/>
      <c r="AE158" s="239"/>
      <c r="AF158" s="239"/>
      <c r="AG158" s="239"/>
      <c r="AH158" s="239"/>
      <c r="AI158" s="239"/>
      <c r="AJ158" s="239"/>
      <c r="AK158" s="239"/>
    </row>
    <row r="159" spans="1:37" ht="15.75" customHeight="1">
      <c r="A159" s="239"/>
      <c r="B159" s="239"/>
      <c r="C159" s="239"/>
      <c r="D159" s="240"/>
      <c r="E159" s="240"/>
      <c r="F159" s="240"/>
      <c r="G159" s="240"/>
      <c r="H159" s="240"/>
      <c r="I159" s="240"/>
      <c r="J159" s="239"/>
      <c r="K159" s="239"/>
      <c r="L159" s="239"/>
      <c r="M159" s="240"/>
      <c r="N159" s="240"/>
      <c r="O159" s="240"/>
      <c r="P159" s="240"/>
      <c r="Q159" s="240"/>
      <c r="R159" s="239"/>
      <c r="S159" s="239"/>
      <c r="T159" s="239"/>
      <c r="U159" s="239"/>
      <c r="V159" s="239"/>
      <c r="W159" s="239"/>
      <c r="X159" s="239"/>
      <c r="Y159" s="239"/>
      <c r="Z159" s="239"/>
      <c r="AA159" s="239"/>
      <c r="AB159" s="239"/>
      <c r="AC159" s="239"/>
      <c r="AD159" s="239"/>
      <c r="AE159" s="239"/>
      <c r="AF159" s="239"/>
      <c r="AG159" s="239"/>
      <c r="AH159" s="239"/>
      <c r="AI159" s="239"/>
      <c r="AJ159" s="239"/>
      <c r="AK159" s="239"/>
    </row>
    <row r="160" spans="1:37" ht="15.75" customHeight="1">
      <c r="A160" s="239"/>
      <c r="B160" s="239"/>
      <c r="C160" s="239"/>
      <c r="D160" s="240"/>
      <c r="E160" s="240"/>
      <c r="F160" s="240"/>
      <c r="G160" s="240"/>
      <c r="H160" s="240"/>
      <c r="I160" s="240"/>
      <c r="J160" s="239"/>
      <c r="K160" s="239"/>
      <c r="L160" s="239"/>
      <c r="M160" s="240"/>
      <c r="N160" s="240"/>
      <c r="O160" s="240"/>
      <c r="P160" s="240"/>
      <c r="Q160" s="240"/>
      <c r="R160" s="239"/>
      <c r="S160" s="239"/>
      <c r="T160" s="239"/>
      <c r="U160" s="239"/>
      <c r="V160" s="239"/>
      <c r="W160" s="239"/>
      <c r="X160" s="239"/>
      <c r="Y160" s="239"/>
      <c r="Z160" s="239"/>
      <c r="AA160" s="239"/>
      <c r="AB160" s="239"/>
      <c r="AC160" s="239"/>
      <c r="AD160" s="239"/>
      <c r="AE160" s="239"/>
      <c r="AF160" s="239"/>
      <c r="AG160" s="239"/>
      <c r="AH160" s="239"/>
      <c r="AI160" s="239"/>
      <c r="AJ160" s="239"/>
      <c r="AK160" s="239"/>
    </row>
    <row r="161" spans="1:37" ht="15.75" customHeight="1">
      <c r="A161" s="239"/>
      <c r="B161" s="239"/>
      <c r="C161" s="239"/>
      <c r="D161" s="240"/>
      <c r="E161" s="240"/>
      <c r="F161" s="240"/>
      <c r="G161" s="240"/>
      <c r="H161" s="240"/>
      <c r="I161" s="240"/>
      <c r="J161" s="239"/>
      <c r="K161" s="239"/>
      <c r="L161" s="239"/>
      <c r="M161" s="240"/>
      <c r="N161" s="240"/>
      <c r="O161" s="240"/>
      <c r="P161" s="240"/>
      <c r="Q161" s="240"/>
      <c r="R161" s="239"/>
      <c r="S161" s="239"/>
      <c r="T161" s="239"/>
      <c r="U161" s="239"/>
      <c r="V161" s="239"/>
      <c r="W161" s="239"/>
      <c r="X161" s="239"/>
      <c r="Y161" s="239"/>
      <c r="Z161" s="239"/>
      <c r="AA161" s="239"/>
      <c r="AB161" s="239"/>
      <c r="AC161" s="239"/>
      <c r="AD161" s="239"/>
      <c r="AE161" s="239"/>
      <c r="AF161" s="239"/>
      <c r="AG161" s="239"/>
      <c r="AH161" s="239"/>
      <c r="AI161" s="239"/>
      <c r="AJ161" s="239"/>
      <c r="AK161" s="239"/>
    </row>
    <row r="162" spans="1:37" ht="15.75" customHeight="1">
      <c r="A162" s="239"/>
      <c r="B162" s="239"/>
      <c r="C162" s="239"/>
      <c r="D162" s="240"/>
      <c r="E162" s="240"/>
      <c r="F162" s="240"/>
      <c r="G162" s="240"/>
      <c r="H162" s="240"/>
      <c r="I162" s="240"/>
      <c r="J162" s="239"/>
      <c r="K162" s="239"/>
      <c r="L162" s="239"/>
      <c r="M162" s="240"/>
      <c r="N162" s="240"/>
      <c r="O162" s="240"/>
      <c r="P162" s="240"/>
      <c r="Q162" s="240"/>
      <c r="R162" s="239"/>
      <c r="S162" s="239"/>
      <c r="T162" s="239"/>
      <c r="U162" s="239"/>
      <c r="V162" s="239"/>
      <c r="W162" s="239"/>
      <c r="X162" s="239"/>
      <c r="Y162" s="239"/>
      <c r="Z162" s="239"/>
      <c r="AA162" s="239"/>
      <c r="AB162" s="239"/>
      <c r="AC162" s="239"/>
      <c r="AD162" s="239"/>
      <c r="AE162" s="239"/>
      <c r="AF162" s="239"/>
      <c r="AG162" s="239"/>
      <c r="AH162" s="239"/>
      <c r="AI162" s="239"/>
      <c r="AJ162" s="239"/>
      <c r="AK162" s="239"/>
    </row>
    <row r="163" spans="1:37" ht="15.75" customHeight="1">
      <c r="A163" s="239"/>
      <c r="B163" s="239"/>
      <c r="C163" s="239"/>
      <c r="D163" s="240"/>
      <c r="E163" s="240"/>
      <c r="F163" s="240"/>
      <c r="G163" s="240"/>
      <c r="H163" s="240"/>
      <c r="I163" s="240"/>
      <c r="J163" s="239"/>
      <c r="K163" s="239"/>
      <c r="L163" s="239"/>
      <c r="M163" s="240"/>
      <c r="N163" s="240"/>
      <c r="O163" s="240"/>
      <c r="P163" s="240"/>
      <c r="Q163" s="240"/>
      <c r="R163" s="239"/>
      <c r="S163" s="239"/>
      <c r="T163" s="239"/>
      <c r="U163" s="239"/>
      <c r="V163" s="239"/>
      <c r="W163" s="239"/>
      <c r="X163" s="239"/>
      <c r="Y163" s="239"/>
      <c r="Z163" s="239"/>
      <c r="AA163" s="239"/>
      <c r="AB163" s="239"/>
      <c r="AC163" s="239"/>
      <c r="AD163" s="239"/>
      <c r="AE163" s="239"/>
      <c r="AF163" s="239"/>
      <c r="AG163" s="239"/>
      <c r="AH163" s="239"/>
      <c r="AI163" s="239"/>
      <c r="AJ163" s="239"/>
      <c r="AK163" s="239"/>
    </row>
    <row r="164" spans="1:37" ht="15.75" customHeight="1">
      <c r="A164" s="239"/>
      <c r="B164" s="239"/>
      <c r="C164" s="239"/>
      <c r="D164" s="240"/>
      <c r="E164" s="240"/>
      <c r="F164" s="240"/>
      <c r="G164" s="240"/>
      <c r="H164" s="240"/>
      <c r="I164" s="240"/>
      <c r="J164" s="239"/>
      <c r="K164" s="239"/>
      <c r="L164" s="239"/>
      <c r="M164" s="240"/>
      <c r="N164" s="240"/>
      <c r="O164" s="240"/>
      <c r="P164" s="240"/>
      <c r="Q164" s="240"/>
      <c r="R164" s="239"/>
      <c r="S164" s="239"/>
      <c r="T164" s="239"/>
      <c r="U164" s="239"/>
      <c r="V164" s="239"/>
      <c r="W164" s="239"/>
      <c r="X164" s="239"/>
      <c r="Y164" s="239"/>
      <c r="Z164" s="239"/>
      <c r="AA164" s="239"/>
      <c r="AB164" s="239"/>
      <c r="AC164" s="239"/>
      <c r="AD164" s="239"/>
      <c r="AE164" s="239"/>
      <c r="AF164" s="239"/>
      <c r="AG164" s="239"/>
      <c r="AH164" s="239"/>
      <c r="AI164" s="239"/>
      <c r="AJ164" s="239"/>
      <c r="AK164" s="239"/>
    </row>
    <row r="165" spans="1:37" ht="15.75" customHeight="1">
      <c r="A165" s="239"/>
      <c r="B165" s="239"/>
      <c r="C165" s="239"/>
      <c r="D165" s="240"/>
      <c r="E165" s="240"/>
      <c r="F165" s="240"/>
      <c r="G165" s="240"/>
      <c r="H165" s="240"/>
      <c r="I165" s="240"/>
      <c r="J165" s="239"/>
      <c r="K165" s="239"/>
      <c r="L165" s="239"/>
      <c r="M165" s="240"/>
      <c r="N165" s="240"/>
      <c r="O165" s="240"/>
      <c r="P165" s="240"/>
      <c r="Q165" s="240"/>
      <c r="R165" s="239"/>
      <c r="S165" s="239"/>
      <c r="T165" s="239"/>
      <c r="U165" s="239"/>
      <c r="V165" s="239"/>
      <c r="W165" s="239"/>
      <c r="X165" s="239"/>
      <c r="Y165" s="239"/>
      <c r="Z165" s="239"/>
      <c r="AA165" s="239"/>
      <c r="AB165" s="239"/>
      <c r="AC165" s="239"/>
      <c r="AD165" s="239"/>
      <c r="AE165" s="239"/>
      <c r="AF165" s="239"/>
      <c r="AG165" s="239"/>
      <c r="AH165" s="239"/>
      <c r="AI165" s="239"/>
      <c r="AJ165" s="239"/>
      <c r="AK165" s="239"/>
    </row>
    <row r="166" spans="1:37" ht="15.75" customHeight="1">
      <c r="A166" s="239"/>
      <c r="B166" s="239"/>
      <c r="C166" s="239"/>
      <c r="D166" s="240"/>
      <c r="E166" s="240"/>
      <c r="F166" s="240"/>
      <c r="G166" s="240"/>
      <c r="H166" s="240"/>
      <c r="I166" s="240"/>
      <c r="J166" s="239"/>
      <c r="K166" s="239"/>
      <c r="L166" s="239"/>
      <c r="M166" s="240"/>
      <c r="N166" s="240"/>
      <c r="O166" s="240"/>
      <c r="P166" s="240"/>
      <c r="Q166" s="240"/>
      <c r="R166" s="239"/>
      <c r="S166" s="239"/>
      <c r="T166" s="239"/>
      <c r="U166" s="239"/>
      <c r="V166" s="239"/>
      <c r="W166" s="239"/>
      <c r="X166" s="239"/>
      <c r="Y166" s="239"/>
      <c r="Z166" s="239"/>
      <c r="AA166" s="239"/>
      <c r="AB166" s="239"/>
      <c r="AC166" s="239"/>
      <c r="AD166" s="239"/>
      <c r="AE166" s="239"/>
      <c r="AF166" s="239"/>
      <c r="AG166" s="239"/>
      <c r="AH166" s="239"/>
      <c r="AI166" s="239"/>
      <c r="AJ166" s="239"/>
      <c r="AK166" s="239"/>
    </row>
    <row r="167" spans="1:37" ht="15.75" customHeight="1">
      <c r="A167" s="239"/>
      <c r="B167" s="239"/>
      <c r="C167" s="239"/>
      <c r="D167" s="240"/>
      <c r="E167" s="240"/>
      <c r="F167" s="240"/>
      <c r="G167" s="240"/>
      <c r="H167" s="240"/>
      <c r="I167" s="240"/>
      <c r="J167" s="239"/>
      <c r="K167" s="239"/>
      <c r="L167" s="239"/>
      <c r="M167" s="240"/>
      <c r="N167" s="240"/>
      <c r="O167" s="240"/>
      <c r="P167" s="240"/>
      <c r="Q167" s="240"/>
      <c r="R167" s="239"/>
      <c r="S167" s="239"/>
      <c r="T167" s="239"/>
      <c r="U167" s="239"/>
      <c r="V167" s="239"/>
      <c r="W167" s="239"/>
      <c r="X167" s="239"/>
      <c r="Y167" s="239"/>
      <c r="Z167" s="239"/>
      <c r="AA167" s="239"/>
      <c r="AB167" s="239"/>
      <c r="AC167" s="239"/>
      <c r="AD167" s="239"/>
      <c r="AE167" s="239"/>
      <c r="AF167" s="239"/>
      <c r="AG167" s="239"/>
      <c r="AH167" s="239"/>
      <c r="AI167" s="239"/>
      <c r="AJ167" s="239"/>
      <c r="AK167" s="239"/>
    </row>
    <row r="168" spans="1:37" ht="15.75" customHeight="1">
      <c r="A168" s="239"/>
      <c r="B168" s="239"/>
      <c r="C168" s="239"/>
      <c r="D168" s="240"/>
      <c r="E168" s="240"/>
      <c r="F168" s="240"/>
      <c r="G168" s="240"/>
      <c r="H168" s="240"/>
      <c r="I168" s="240"/>
      <c r="J168" s="239"/>
      <c r="K168" s="239"/>
      <c r="L168" s="239"/>
      <c r="M168" s="240"/>
      <c r="N168" s="240"/>
      <c r="O168" s="240"/>
      <c r="P168" s="240"/>
      <c r="Q168" s="240"/>
      <c r="R168" s="239"/>
      <c r="S168" s="239"/>
      <c r="T168" s="239"/>
      <c r="U168" s="239"/>
      <c r="V168" s="239"/>
      <c r="W168" s="239"/>
      <c r="X168" s="239"/>
      <c r="Y168" s="239"/>
      <c r="Z168" s="239"/>
      <c r="AA168" s="239"/>
      <c r="AB168" s="239"/>
      <c r="AC168" s="239"/>
      <c r="AD168" s="239"/>
      <c r="AE168" s="239"/>
      <c r="AF168" s="239"/>
      <c r="AG168" s="239"/>
      <c r="AH168" s="239"/>
      <c r="AI168" s="239"/>
      <c r="AJ168" s="239"/>
      <c r="AK168" s="239"/>
    </row>
    <row r="169" spans="1:37" ht="15.75" customHeight="1">
      <c r="A169" s="239"/>
      <c r="B169" s="239"/>
      <c r="C169" s="239"/>
      <c r="D169" s="240"/>
      <c r="E169" s="240"/>
      <c r="F169" s="240"/>
      <c r="G169" s="240"/>
      <c r="H169" s="240"/>
      <c r="I169" s="240"/>
      <c r="J169" s="239"/>
      <c r="K169" s="239"/>
      <c r="L169" s="239"/>
      <c r="M169" s="240"/>
      <c r="N169" s="240"/>
      <c r="O169" s="240"/>
      <c r="P169" s="240"/>
      <c r="Q169" s="240"/>
      <c r="R169" s="239"/>
      <c r="S169" s="239"/>
      <c r="T169" s="239"/>
      <c r="U169" s="239"/>
      <c r="V169" s="239"/>
      <c r="W169" s="239"/>
      <c r="X169" s="239"/>
      <c r="Y169" s="239"/>
      <c r="Z169" s="239"/>
      <c r="AA169" s="239"/>
      <c r="AB169" s="239"/>
      <c r="AC169" s="239"/>
      <c r="AD169" s="239"/>
      <c r="AE169" s="239"/>
      <c r="AF169" s="239"/>
      <c r="AG169" s="239"/>
      <c r="AH169" s="239"/>
      <c r="AI169" s="239"/>
      <c r="AJ169" s="239"/>
      <c r="AK169" s="239"/>
    </row>
    <row r="170" spans="1:37" ht="15.75" customHeight="1">
      <c r="A170" s="239"/>
      <c r="B170" s="239"/>
      <c r="C170" s="239"/>
      <c r="D170" s="240"/>
      <c r="E170" s="240"/>
      <c r="F170" s="240"/>
      <c r="G170" s="240"/>
      <c r="H170" s="240"/>
      <c r="I170" s="240"/>
      <c r="J170" s="239"/>
      <c r="K170" s="239"/>
      <c r="L170" s="239"/>
      <c r="M170" s="240"/>
      <c r="N170" s="240"/>
      <c r="O170" s="240"/>
      <c r="P170" s="240"/>
      <c r="Q170" s="240"/>
      <c r="R170" s="239"/>
      <c r="S170" s="239"/>
      <c r="T170" s="239"/>
      <c r="U170" s="239"/>
      <c r="V170" s="239"/>
      <c r="W170" s="239"/>
      <c r="X170" s="239"/>
      <c r="Y170" s="239"/>
      <c r="Z170" s="239"/>
      <c r="AA170" s="239"/>
      <c r="AB170" s="239"/>
      <c r="AC170" s="239"/>
      <c r="AD170" s="239"/>
      <c r="AE170" s="239"/>
      <c r="AF170" s="239"/>
      <c r="AG170" s="239"/>
      <c r="AH170" s="239"/>
      <c r="AI170" s="239"/>
      <c r="AJ170" s="239"/>
      <c r="AK170" s="239"/>
    </row>
    <row r="171" spans="1:37" ht="15.75" customHeight="1">
      <c r="A171" s="239"/>
      <c r="B171" s="239"/>
      <c r="C171" s="239"/>
      <c r="D171" s="240"/>
      <c r="E171" s="240"/>
      <c r="F171" s="240"/>
      <c r="G171" s="240"/>
      <c r="H171" s="240"/>
      <c r="I171" s="240"/>
      <c r="J171" s="239"/>
      <c r="K171" s="239"/>
      <c r="L171" s="239"/>
      <c r="M171" s="240"/>
      <c r="N171" s="240"/>
      <c r="O171" s="240"/>
      <c r="P171" s="240"/>
      <c r="Q171" s="240"/>
      <c r="R171" s="239"/>
      <c r="S171" s="239"/>
      <c r="T171" s="239"/>
      <c r="U171" s="239"/>
      <c r="V171" s="239"/>
      <c r="W171" s="239"/>
      <c r="X171" s="239"/>
      <c r="Y171" s="239"/>
      <c r="Z171" s="239"/>
      <c r="AA171" s="239"/>
      <c r="AB171" s="239"/>
      <c r="AC171" s="239"/>
      <c r="AD171" s="239"/>
      <c r="AE171" s="239"/>
      <c r="AF171" s="239"/>
      <c r="AG171" s="239"/>
      <c r="AH171" s="239"/>
      <c r="AI171" s="239"/>
      <c r="AJ171" s="239"/>
      <c r="AK171" s="239"/>
    </row>
    <row r="172" spans="1:37" ht="15.75" customHeight="1">
      <c r="A172" s="239"/>
      <c r="B172" s="239"/>
      <c r="C172" s="239"/>
      <c r="D172" s="240"/>
      <c r="E172" s="240"/>
      <c r="F172" s="240"/>
      <c r="G172" s="240"/>
      <c r="H172" s="240"/>
      <c r="I172" s="240"/>
      <c r="J172" s="239"/>
      <c r="K172" s="239"/>
      <c r="L172" s="239"/>
      <c r="M172" s="240"/>
      <c r="N172" s="240"/>
      <c r="O172" s="240"/>
      <c r="P172" s="240"/>
      <c r="Q172" s="240"/>
      <c r="R172" s="239"/>
      <c r="S172" s="239"/>
      <c r="T172" s="239"/>
      <c r="U172" s="239"/>
      <c r="V172" s="239"/>
      <c r="W172" s="239"/>
      <c r="X172" s="239"/>
      <c r="Y172" s="239"/>
      <c r="Z172" s="239"/>
      <c r="AA172" s="239"/>
      <c r="AB172" s="239"/>
      <c r="AC172" s="239"/>
      <c r="AD172" s="239"/>
      <c r="AE172" s="239"/>
      <c r="AF172" s="239"/>
      <c r="AG172" s="239"/>
      <c r="AH172" s="239"/>
      <c r="AI172" s="239"/>
      <c r="AJ172" s="239"/>
      <c r="AK172" s="239"/>
    </row>
    <row r="173" spans="1:37" ht="15.75" customHeight="1">
      <c r="A173" s="239"/>
      <c r="B173" s="239"/>
      <c r="C173" s="239"/>
      <c r="D173" s="240"/>
      <c r="E173" s="240"/>
      <c r="F173" s="240"/>
      <c r="G173" s="240"/>
      <c r="H173" s="240"/>
      <c r="I173" s="240"/>
      <c r="J173" s="239"/>
      <c r="K173" s="239"/>
      <c r="L173" s="239"/>
      <c r="M173" s="240"/>
      <c r="N173" s="240"/>
      <c r="O173" s="240"/>
      <c r="P173" s="240"/>
      <c r="Q173" s="240"/>
      <c r="R173" s="239"/>
      <c r="S173" s="239"/>
      <c r="T173" s="239"/>
      <c r="U173" s="239"/>
      <c r="V173" s="239"/>
      <c r="W173" s="239"/>
      <c r="X173" s="239"/>
      <c r="Y173" s="239"/>
      <c r="Z173" s="239"/>
      <c r="AA173" s="239"/>
      <c r="AB173" s="239"/>
      <c r="AC173" s="239"/>
      <c r="AD173" s="239"/>
      <c r="AE173" s="239"/>
      <c r="AF173" s="239"/>
      <c r="AG173" s="239"/>
      <c r="AH173" s="239"/>
      <c r="AI173" s="239"/>
      <c r="AJ173" s="239"/>
      <c r="AK173" s="239"/>
    </row>
    <row r="174" spans="1:37" ht="15.75" customHeight="1">
      <c r="A174" s="239"/>
      <c r="B174" s="239"/>
      <c r="C174" s="239"/>
      <c r="D174" s="240"/>
      <c r="E174" s="240"/>
      <c r="F174" s="240"/>
      <c r="G174" s="240"/>
      <c r="H174" s="240"/>
      <c r="I174" s="240"/>
      <c r="J174" s="239"/>
      <c r="K174" s="239"/>
      <c r="L174" s="239"/>
      <c r="M174" s="240"/>
      <c r="N174" s="240"/>
      <c r="O174" s="240"/>
      <c r="P174" s="240"/>
      <c r="Q174" s="240"/>
      <c r="R174" s="239"/>
      <c r="S174" s="239"/>
      <c r="T174" s="239"/>
      <c r="U174" s="239"/>
      <c r="V174" s="239"/>
      <c r="W174" s="239"/>
      <c r="X174" s="239"/>
      <c r="Y174" s="239"/>
      <c r="Z174" s="239"/>
      <c r="AA174" s="239"/>
      <c r="AB174" s="239"/>
      <c r="AC174" s="239"/>
      <c r="AD174" s="239"/>
      <c r="AE174" s="239"/>
      <c r="AF174" s="239"/>
      <c r="AG174" s="239"/>
      <c r="AH174" s="239"/>
      <c r="AI174" s="239"/>
      <c r="AJ174" s="239"/>
      <c r="AK174" s="239"/>
    </row>
    <row r="175" spans="1:37" ht="15.75" customHeight="1">
      <c r="A175" s="239"/>
      <c r="B175" s="239"/>
      <c r="C175" s="239"/>
      <c r="D175" s="240"/>
      <c r="E175" s="240"/>
      <c r="F175" s="240"/>
      <c r="G175" s="240"/>
      <c r="H175" s="240"/>
      <c r="I175" s="240"/>
      <c r="J175" s="239"/>
      <c r="K175" s="239"/>
      <c r="L175" s="239"/>
      <c r="M175" s="240"/>
      <c r="N175" s="240"/>
      <c r="O175" s="240"/>
      <c r="P175" s="240"/>
      <c r="Q175" s="240"/>
      <c r="R175" s="239"/>
      <c r="S175" s="239"/>
      <c r="T175" s="239"/>
      <c r="U175" s="239"/>
      <c r="V175" s="239"/>
      <c r="W175" s="239"/>
      <c r="X175" s="239"/>
      <c r="Y175" s="239"/>
      <c r="Z175" s="239"/>
      <c r="AA175" s="239"/>
      <c r="AB175" s="239"/>
      <c r="AC175" s="239"/>
      <c r="AD175" s="239"/>
      <c r="AE175" s="239"/>
      <c r="AF175" s="239"/>
      <c r="AG175" s="239"/>
      <c r="AH175" s="239"/>
      <c r="AI175" s="239"/>
      <c r="AJ175" s="239"/>
      <c r="AK175" s="239"/>
    </row>
    <row r="176" spans="1:37" ht="15.75" customHeight="1">
      <c r="A176" s="239"/>
      <c r="B176" s="239"/>
      <c r="C176" s="239"/>
      <c r="D176" s="240"/>
      <c r="E176" s="240"/>
      <c r="F176" s="240"/>
      <c r="G176" s="240"/>
      <c r="H176" s="240"/>
      <c r="I176" s="240"/>
      <c r="J176" s="239"/>
      <c r="K176" s="239"/>
      <c r="L176" s="239"/>
      <c r="M176" s="240"/>
      <c r="N176" s="240"/>
      <c r="O176" s="240"/>
      <c r="P176" s="240"/>
      <c r="Q176" s="240"/>
      <c r="R176" s="239"/>
      <c r="S176" s="239"/>
      <c r="T176" s="239"/>
      <c r="U176" s="239"/>
      <c r="V176" s="239"/>
      <c r="W176" s="239"/>
      <c r="X176" s="239"/>
      <c r="Y176" s="239"/>
      <c r="Z176" s="239"/>
      <c r="AA176" s="239"/>
      <c r="AB176" s="239"/>
      <c r="AC176" s="239"/>
      <c r="AD176" s="239"/>
      <c r="AE176" s="239"/>
      <c r="AF176" s="239"/>
      <c r="AG176" s="239"/>
      <c r="AH176" s="239"/>
      <c r="AI176" s="239"/>
      <c r="AJ176" s="239"/>
      <c r="AK176" s="239"/>
    </row>
    <row r="177" spans="1:37" ht="15.75" customHeight="1">
      <c r="A177" s="239"/>
      <c r="B177" s="239"/>
      <c r="C177" s="239"/>
      <c r="D177" s="240"/>
      <c r="E177" s="240"/>
      <c r="F177" s="240"/>
      <c r="G177" s="240"/>
      <c r="H177" s="240"/>
      <c r="I177" s="240"/>
      <c r="J177" s="239"/>
      <c r="K177" s="239"/>
      <c r="L177" s="239"/>
      <c r="M177" s="240"/>
      <c r="N177" s="240"/>
      <c r="O177" s="240"/>
      <c r="P177" s="240"/>
      <c r="Q177" s="240"/>
      <c r="R177" s="239"/>
      <c r="S177" s="239"/>
      <c r="T177" s="239"/>
      <c r="U177" s="239"/>
      <c r="V177" s="239"/>
      <c r="W177" s="239"/>
      <c r="X177" s="239"/>
      <c r="Y177" s="239"/>
      <c r="Z177" s="239"/>
      <c r="AA177" s="239"/>
      <c r="AB177" s="239"/>
      <c r="AC177" s="239"/>
      <c r="AD177" s="239"/>
      <c r="AE177" s="239"/>
      <c r="AF177" s="239"/>
      <c r="AG177" s="239"/>
      <c r="AH177" s="239"/>
      <c r="AI177" s="239"/>
      <c r="AJ177" s="239"/>
      <c r="AK177" s="239"/>
    </row>
    <row r="178" spans="1:37" ht="15.75" customHeight="1">
      <c r="A178" s="239"/>
      <c r="B178" s="239"/>
      <c r="C178" s="239"/>
      <c r="D178" s="240"/>
      <c r="E178" s="240"/>
      <c r="F178" s="240"/>
      <c r="G178" s="240"/>
      <c r="H178" s="240"/>
      <c r="I178" s="240"/>
      <c r="J178" s="239"/>
      <c r="K178" s="239"/>
      <c r="L178" s="239"/>
      <c r="M178" s="240"/>
      <c r="N178" s="240"/>
      <c r="O178" s="240"/>
      <c r="P178" s="240"/>
      <c r="Q178" s="240"/>
      <c r="R178" s="239"/>
      <c r="S178" s="239"/>
      <c r="T178" s="239"/>
      <c r="U178" s="239"/>
      <c r="V178" s="239"/>
      <c r="W178" s="239"/>
      <c r="X178" s="239"/>
      <c r="Y178" s="239"/>
      <c r="Z178" s="239"/>
      <c r="AA178" s="239"/>
      <c r="AB178" s="239"/>
      <c r="AC178" s="239"/>
      <c r="AD178" s="239"/>
      <c r="AE178" s="239"/>
      <c r="AF178" s="239"/>
      <c r="AG178" s="239"/>
      <c r="AH178" s="239"/>
      <c r="AI178" s="239"/>
      <c r="AJ178" s="239"/>
      <c r="AK178" s="239"/>
    </row>
    <row r="179" spans="1:37" ht="15.75" customHeight="1">
      <c r="A179" s="239"/>
      <c r="B179" s="239"/>
      <c r="C179" s="239"/>
      <c r="D179" s="240"/>
      <c r="E179" s="240"/>
      <c r="F179" s="240"/>
      <c r="G179" s="240"/>
      <c r="H179" s="240"/>
      <c r="I179" s="240"/>
      <c r="J179" s="239"/>
      <c r="K179" s="239"/>
      <c r="L179" s="239"/>
      <c r="M179" s="240"/>
      <c r="N179" s="240"/>
      <c r="O179" s="240"/>
      <c r="P179" s="240"/>
      <c r="Q179" s="240"/>
      <c r="R179" s="239"/>
      <c r="S179" s="239"/>
      <c r="T179" s="239"/>
      <c r="U179" s="239"/>
      <c r="V179" s="239"/>
      <c r="W179" s="239"/>
      <c r="X179" s="239"/>
      <c r="Y179" s="239"/>
      <c r="Z179" s="239"/>
      <c r="AA179" s="239"/>
      <c r="AB179" s="239"/>
      <c r="AC179" s="239"/>
      <c r="AD179" s="239"/>
      <c r="AE179" s="239"/>
      <c r="AF179" s="239"/>
      <c r="AG179" s="239"/>
      <c r="AH179" s="239"/>
      <c r="AI179" s="239"/>
      <c r="AJ179" s="239"/>
      <c r="AK179" s="239"/>
    </row>
    <row r="180" spans="1:37" ht="15.75" customHeight="1">
      <c r="A180" s="239"/>
      <c r="B180" s="239"/>
      <c r="C180" s="239"/>
      <c r="D180" s="240"/>
      <c r="E180" s="240"/>
      <c r="F180" s="240"/>
      <c r="G180" s="240"/>
      <c r="H180" s="240"/>
      <c r="I180" s="240"/>
      <c r="J180" s="239"/>
      <c r="K180" s="239"/>
      <c r="L180" s="239"/>
      <c r="M180" s="240"/>
      <c r="N180" s="240"/>
      <c r="O180" s="240"/>
      <c r="P180" s="240"/>
      <c r="Q180" s="240"/>
      <c r="R180" s="239"/>
      <c r="S180" s="239"/>
      <c r="T180" s="239"/>
      <c r="U180" s="239"/>
      <c r="V180" s="239"/>
      <c r="W180" s="239"/>
      <c r="X180" s="239"/>
      <c r="Y180" s="239"/>
      <c r="Z180" s="239"/>
      <c r="AA180" s="239"/>
      <c r="AB180" s="239"/>
      <c r="AC180" s="239"/>
      <c r="AD180" s="239"/>
      <c r="AE180" s="239"/>
      <c r="AF180" s="239"/>
      <c r="AG180" s="239"/>
      <c r="AH180" s="239"/>
      <c r="AI180" s="239"/>
      <c r="AJ180" s="239"/>
      <c r="AK180" s="239"/>
    </row>
    <row r="181" spans="1:37" ht="15.75" customHeight="1">
      <c r="A181" s="239"/>
      <c r="B181" s="239"/>
      <c r="C181" s="239"/>
      <c r="D181" s="240"/>
      <c r="E181" s="240"/>
      <c r="F181" s="240"/>
      <c r="G181" s="240"/>
      <c r="H181" s="240"/>
      <c r="I181" s="240"/>
      <c r="J181" s="239"/>
      <c r="K181" s="239"/>
      <c r="L181" s="239"/>
      <c r="M181" s="240"/>
      <c r="N181" s="240"/>
      <c r="O181" s="240"/>
      <c r="P181" s="240"/>
      <c r="Q181" s="240"/>
      <c r="R181" s="239"/>
      <c r="S181" s="239"/>
      <c r="T181" s="239"/>
      <c r="U181" s="239"/>
      <c r="V181" s="239"/>
      <c r="W181" s="239"/>
      <c r="X181" s="239"/>
      <c r="Y181" s="239"/>
      <c r="Z181" s="239"/>
      <c r="AA181" s="239"/>
      <c r="AB181" s="239"/>
      <c r="AC181" s="239"/>
      <c r="AD181" s="239"/>
      <c r="AE181" s="239"/>
      <c r="AF181" s="239"/>
      <c r="AG181" s="239"/>
      <c r="AH181" s="239"/>
      <c r="AI181" s="239"/>
      <c r="AJ181" s="239"/>
      <c r="AK181" s="239"/>
    </row>
    <row r="182" spans="1:37" ht="15.75" customHeight="1">
      <c r="A182" s="239"/>
      <c r="B182" s="239"/>
      <c r="C182" s="239"/>
      <c r="D182" s="240"/>
      <c r="E182" s="240"/>
      <c r="F182" s="240"/>
      <c r="G182" s="240"/>
      <c r="H182" s="240"/>
      <c r="I182" s="240"/>
      <c r="J182" s="239"/>
      <c r="K182" s="239"/>
      <c r="L182" s="239"/>
      <c r="M182" s="240"/>
      <c r="N182" s="240"/>
      <c r="O182" s="240"/>
      <c r="P182" s="240"/>
      <c r="Q182" s="240"/>
      <c r="R182" s="239"/>
      <c r="S182" s="239"/>
      <c r="T182" s="239"/>
      <c r="U182" s="239"/>
      <c r="V182" s="239"/>
      <c r="W182" s="239"/>
      <c r="X182" s="239"/>
      <c r="Y182" s="239"/>
      <c r="Z182" s="239"/>
      <c r="AA182" s="239"/>
      <c r="AB182" s="239"/>
      <c r="AC182" s="239"/>
      <c r="AD182" s="239"/>
      <c r="AE182" s="239"/>
      <c r="AF182" s="239"/>
      <c r="AG182" s="239"/>
      <c r="AH182" s="239"/>
      <c r="AI182" s="239"/>
      <c r="AJ182" s="239"/>
      <c r="AK182" s="239"/>
    </row>
    <row r="183" spans="1:37" ht="15.75" customHeight="1">
      <c r="A183" s="239"/>
      <c r="B183" s="239"/>
      <c r="C183" s="239"/>
      <c r="D183" s="240"/>
      <c r="E183" s="240"/>
      <c r="F183" s="240"/>
      <c r="G183" s="240"/>
      <c r="H183" s="240"/>
      <c r="I183" s="240"/>
      <c r="J183" s="239"/>
      <c r="K183" s="239"/>
      <c r="L183" s="239"/>
      <c r="M183" s="240"/>
      <c r="N183" s="240"/>
      <c r="O183" s="240"/>
      <c r="P183" s="240"/>
      <c r="Q183" s="240"/>
      <c r="R183" s="239"/>
      <c r="S183" s="239"/>
      <c r="T183" s="239"/>
      <c r="U183" s="239"/>
      <c r="V183" s="239"/>
      <c r="W183" s="239"/>
      <c r="X183" s="239"/>
      <c r="Y183" s="239"/>
      <c r="Z183" s="239"/>
      <c r="AA183" s="239"/>
      <c r="AB183" s="239"/>
      <c r="AC183" s="239"/>
      <c r="AD183" s="239"/>
      <c r="AE183" s="239"/>
      <c r="AF183" s="239"/>
      <c r="AG183" s="239"/>
      <c r="AH183" s="239"/>
      <c r="AI183" s="239"/>
      <c r="AJ183" s="239"/>
      <c r="AK183" s="239"/>
    </row>
    <row r="184" spans="1:37" ht="15.75" customHeight="1">
      <c r="A184" s="239"/>
      <c r="B184" s="239"/>
      <c r="C184" s="239"/>
      <c r="D184" s="240"/>
      <c r="E184" s="240"/>
      <c r="F184" s="240"/>
      <c r="G184" s="240"/>
      <c r="H184" s="240"/>
      <c r="I184" s="240"/>
      <c r="J184" s="239"/>
      <c r="K184" s="239"/>
      <c r="L184" s="239"/>
      <c r="M184" s="240"/>
      <c r="N184" s="240"/>
      <c r="O184" s="240"/>
      <c r="P184" s="240"/>
      <c r="Q184" s="240"/>
      <c r="R184" s="239"/>
      <c r="S184" s="239"/>
      <c r="T184" s="239"/>
      <c r="U184" s="239"/>
      <c r="V184" s="239"/>
      <c r="W184" s="239"/>
      <c r="X184" s="239"/>
      <c r="Y184" s="239"/>
      <c r="Z184" s="239"/>
      <c r="AA184" s="239"/>
      <c r="AB184" s="239"/>
      <c r="AC184" s="239"/>
      <c r="AD184" s="239"/>
      <c r="AE184" s="239"/>
      <c r="AF184" s="239"/>
      <c r="AG184" s="239"/>
      <c r="AH184" s="239"/>
      <c r="AI184" s="239"/>
      <c r="AJ184" s="239"/>
      <c r="AK184" s="239"/>
    </row>
    <row r="185" spans="1:37" ht="15.75" customHeight="1">
      <c r="A185" s="239"/>
      <c r="B185" s="239"/>
      <c r="C185" s="239"/>
      <c r="D185" s="240"/>
      <c r="E185" s="240"/>
      <c r="F185" s="240"/>
      <c r="G185" s="240"/>
      <c r="H185" s="240"/>
      <c r="I185" s="240"/>
      <c r="J185" s="239"/>
      <c r="K185" s="239"/>
      <c r="L185" s="239"/>
      <c r="M185" s="240"/>
      <c r="N185" s="240"/>
      <c r="O185" s="240"/>
      <c r="P185" s="240"/>
      <c r="Q185" s="240"/>
      <c r="R185" s="239"/>
      <c r="S185" s="239"/>
      <c r="T185" s="239"/>
      <c r="U185" s="239"/>
      <c r="V185" s="239"/>
      <c r="W185" s="239"/>
      <c r="X185" s="239"/>
      <c r="Y185" s="239"/>
      <c r="Z185" s="239"/>
      <c r="AA185" s="239"/>
      <c r="AB185" s="239"/>
      <c r="AC185" s="239"/>
      <c r="AD185" s="239"/>
      <c r="AE185" s="239"/>
      <c r="AF185" s="239"/>
      <c r="AG185" s="239"/>
      <c r="AH185" s="239"/>
      <c r="AI185" s="239"/>
      <c r="AJ185" s="239"/>
      <c r="AK185" s="239"/>
    </row>
    <row r="186" spans="1:37" ht="15.75" customHeight="1">
      <c r="A186" s="239"/>
      <c r="B186" s="239"/>
      <c r="C186" s="239"/>
      <c r="D186" s="240"/>
      <c r="E186" s="240"/>
      <c r="F186" s="240"/>
      <c r="G186" s="240"/>
      <c r="H186" s="240"/>
      <c r="I186" s="240"/>
      <c r="J186" s="239"/>
      <c r="K186" s="239"/>
      <c r="L186" s="239"/>
      <c r="M186" s="240"/>
      <c r="N186" s="240"/>
      <c r="O186" s="240"/>
      <c r="P186" s="240"/>
      <c r="Q186" s="240"/>
      <c r="R186" s="239"/>
      <c r="S186" s="239"/>
      <c r="T186" s="239"/>
      <c r="U186" s="239"/>
      <c r="V186" s="239"/>
      <c r="W186" s="239"/>
      <c r="X186" s="239"/>
      <c r="Y186" s="239"/>
      <c r="Z186" s="239"/>
      <c r="AA186" s="239"/>
      <c r="AB186" s="239"/>
      <c r="AC186" s="239"/>
      <c r="AD186" s="239"/>
      <c r="AE186" s="239"/>
      <c r="AF186" s="239"/>
      <c r="AG186" s="239"/>
      <c r="AH186" s="239"/>
      <c r="AI186" s="239"/>
      <c r="AJ186" s="239"/>
      <c r="AK186" s="239"/>
    </row>
    <row r="187" spans="1:37" ht="15.75" customHeight="1">
      <c r="A187" s="239"/>
      <c r="B187" s="239"/>
      <c r="C187" s="239"/>
      <c r="D187" s="240"/>
      <c r="E187" s="240"/>
      <c r="F187" s="240"/>
      <c r="G187" s="240"/>
      <c r="H187" s="240"/>
      <c r="I187" s="240"/>
      <c r="J187" s="239"/>
      <c r="K187" s="239"/>
      <c r="L187" s="239"/>
      <c r="M187" s="240"/>
      <c r="N187" s="240"/>
      <c r="O187" s="240"/>
      <c r="P187" s="240"/>
      <c r="Q187" s="240"/>
      <c r="R187" s="239"/>
      <c r="S187" s="239"/>
      <c r="T187" s="239"/>
      <c r="U187" s="239"/>
      <c r="V187" s="239"/>
      <c r="W187" s="239"/>
      <c r="X187" s="239"/>
      <c r="Y187" s="239"/>
      <c r="Z187" s="239"/>
      <c r="AA187" s="239"/>
      <c r="AB187" s="239"/>
      <c r="AC187" s="239"/>
      <c r="AD187" s="239"/>
      <c r="AE187" s="239"/>
      <c r="AF187" s="239"/>
      <c r="AG187" s="239"/>
      <c r="AH187" s="239"/>
      <c r="AI187" s="239"/>
      <c r="AJ187" s="239"/>
      <c r="AK187" s="239"/>
    </row>
    <row r="188" spans="1:37" ht="15.75" customHeight="1">
      <c r="A188" s="239"/>
      <c r="B188" s="239"/>
      <c r="C188" s="239"/>
      <c r="D188" s="240"/>
      <c r="E188" s="240"/>
      <c r="F188" s="240"/>
      <c r="G188" s="240"/>
      <c r="H188" s="240"/>
      <c r="I188" s="240"/>
      <c r="J188" s="239"/>
      <c r="K188" s="239"/>
      <c r="L188" s="239"/>
      <c r="M188" s="240"/>
      <c r="N188" s="240"/>
      <c r="O188" s="240"/>
      <c r="P188" s="240"/>
      <c r="Q188" s="240"/>
      <c r="R188" s="239"/>
      <c r="S188" s="239"/>
      <c r="T188" s="239"/>
      <c r="U188" s="239"/>
      <c r="V188" s="239"/>
      <c r="W188" s="239"/>
      <c r="X188" s="239"/>
      <c r="Y188" s="239"/>
      <c r="Z188" s="239"/>
      <c r="AA188" s="239"/>
      <c r="AB188" s="239"/>
      <c r="AC188" s="239"/>
      <c r="AD188" s="239"/>
      <c r="AE188" s="239"/>
      <c r="AF188" s="239"/>
      <c r="AG188" s="239"/>
      <c r="AH188" s="239"/>
      <c r="AI188" s="239"/>
      <c r="AJ188" s="239"/>
      <c r="AK188" s="239"/>
    </row>
    <row r="189" spans="1:37" ht="15.75" customHeight="1">
      <c r="A189" s="239"/>
      <c r="B189" s="239"/>
      <c r="C189" s="239"/>
      <c r="D189" s="240"/>
      <c r="E189" s="240"/>
      <c r="F189" s="240"/>
      <c r="G189" s="240"/>
      <c r="H189" s="240"/>
      <c r="I189" s="240"/>
      <c r="J189" s="239"/>
      <c r="K189" s="239"/>
      <c r="L189" s="239"/>
      <c r="M189" s="240"/>
      <c r="N189" s="240"/>
      <c r="O189" s="240"/>
      <c r="P189" s="240"/>
      <c r="Q189" s="240"/>
      <c r="R189" s="239"/>
      <c r="S189" s="239"/>
      <c r="T189" s="239"/>
      <c r="U189" s="239"/>
      <c r="V189" s="239"/>
      <c r="W189" s="239"/>
      <c r="X189" s="239"/>
      <c r="Y189" s="239"/>
      <c r="Z189" s="239"/>
      <c r="AA189" s="239"/>
      <c r="AB189" s="239"/>
      <c r="AC189" s="239"/>
      <c r="AD189" s="239"/>
      <c r="AE189" s="239"/>
      <c r="AF189" s="239"/>
      <c r="AG189" s="239"/>
      <c r="AH189" s="239"/>
      <c r="AI189" s="239"/>
      <c r="AJ189" s="239"/>
      <c r="AK189" s="239"/>
    </row>
    <row r="190" spans="1:37" ht="15.75" customHeight="1">
      <c r="A190" s="239"/>
      <c r="B190" s="239"/>
      <c r="C190" s="239"/>
      <c r="D190" s="240"/>
      <c r="E190" s="240"/>
      <c r="F190" s="240"/>
      <c r="G190" s="240"/>
      <c r="H190" s="240"/>
      <c r="I190" s="240"/>
      <c r="J190" s="239"/>
      <c r="K190" s="239"/>
      <c r="L190" s="239"/>
      <c r="M190" s="240"/>
      <c r="N190" s="240"/>
      <c r="O190" s="240"/>
      <c r="P190" s="240"/>
      <c r="Q190" s="240"/>
      <c r="R190" s="239"/>
      <c r="S190" s="239"/>
      <c r="T190" s="239"/>
      <c r="U190" s="239"/>
      <c r="V190" s="239"/>
      <c r="W190" s="239"/>
      <c r="X190" s="239"/>
      <c r="Y190" s="239"/>
      <c r="Z190" s="239"/>
      <c r="AA190" s="239"/>
      <c r="AB190" s="239"/>
      <c r="AC190" s="239"/>
      <c r="AD190" s="239"/>
      <c r="AE190" s="239"/>
      <c r="AF190" s="239"/>
      <c r="AG190" s="239"/>
      <c r="AH190" s="239"/>
      <c r="AI190" s="239"/>
      <c r="AJ190" s="239"/>
      <c r="AK190" s="239"/>
    </row>
    <row r="191" spans="1:37" ht="15.75" customHeight="1">
      <c r="A191" s="239"/>
      <c r="B191" s="239"/>
      <c r="C191" s="239"/>
      <c r="D191" s="240"/>
      <c r="E191" s="240"/>
      <c r="F191" s="240"/>
      <c r="G191" s="240"/>
      <c r="H191" s="240"/>
      <c r="I191" s="240"/>
      <c r="J191" s="239"/>
      <c r="K191" s="239"/>
      <c r="L191" s="239"/>
      <c r="M191" s="240"/>
      <c r="N191" s="240"/>
      <c r="O191" s="240"/>
      <c r="P191" s="240"/>
      <c r="Q191" s="240"/>
      <c r="R191" s="239"/>
      <c r="S191" s="239"/>
      <c r="T191" s="239"/>
      <c r="U191" s="239"/>
      <c r="V191" s="239"/>
      <c r="W191" s="239"/>
      <c r="X191" s="239"/>
      <c r="Y191" s="239"/>
      <c r="Z191" s="239"/>
      <c r="AA191" s="239"/>
      <c r="AB191" s="239"/>
      <c r="AC191" s="239"/>
      <c r="AD191" s="239"/>
      <c r="AE191" s="239"/>
      <c r="AF191" s="239"/>
      <c r="AG191" s="239"/>
      <c r="AH191" s="239"/>
      <c r="AI191" s="239"/>
      <c r="AJ191" s="239"/>
      <c r="AK191" s="239"/>
    </row>
    <row r="192" spans="1:37" ht="15.75" customHeight="1">
      <c r="A192" s="239"/>
      <c r="B192" s="239"/>
      <c r="C192" s="239"/>
      <c r="D192" s="240"/>
      <c r="E192" s="240"/>
      <c r="F192" s="240"/>
      <c r="G192" s="240"/>
      <c r="H192" s="240"/>
      <c r="I192" s="240"/>
      <c r="J192" s="239"/>
      <c r="K192" s="239"/>
      <c r="L192" s="239"/>
      <c r="M192" s="240"/>
      <c r="N192" s="240"/>
      <c r="O192" s="240"/>
      <c r="P192" s="240"/>
      <c r="Q192" s="240"/>
      <c r="R192" s="239"/>
      <c r="S192" s="239"/>
      <c r="T192" s="239"/>
      <c r="U192" s="239"/>
      <c r="V192" s="239"/>
      <c r="W192" s="239"/>
      <c r="X192" s="239"/>
      <c r="Y192" s="239"/>
      <c r="Z192" s="239"/>
      <c r="AA192" s="239"/>
      <c r="AB192" s="239"/>
      <c r="AC192" s="239"/>
      <c r="AD192" s="239"/>
      <c r="AE192" s="239"/>
      <c r="AF192" s="239"/>
      <c r="AG192" s="239"/>
      <c r="AH192" s="239"/>
      <c r="AI192" s="239"/>
      <c r="AJ192" s="239"/>
      <c r="AK192" s="239"/>
    </row>
    <row r="193" spans="1:37" ht="15.75" customHeight="1">
      <c r="A193" s="239"/>
      <c r="B193" s="239"/>
      <c r="C193" s="239"/>
      <c r="D193" s="240"/>
      <c r="E193" s="240"/>
      <c r="F193" s="240"/>
      <c r="G193" s="240"/>
      <c r="H193" s="240"/>
      <c r="I193" s="240"/>
      <c r="J193" s="239"/>
      <c r="K193" s="239"/>
      <c r="L193" s="239"/>
      <c r="M193" s="240"/>
      <c r="N193" s="240"/>
      <c r="O193" s="240"/>
      <c r="P193" s="240"/>
      <c r="Q193" s="240"/>
      <c r="R193" s="239"/>
      <c r="S193" s="239"/>
      <c r="T193" s="239"/>
      <c r="U193" s="239"/>
      <c r="V193" s="239"/>
      <c r="W193" s="239"/>
      <c r="X193" s="239"/>
      <c r="Y193" s="239"/>
      <c r="Z193" s="239"/>
      <c r="AA193" s="239"/>
      <c r="AB193" s="239"/>
      <c r="AC193" s="239"/>
      <c r="AD193" s="239"/>
      <c r="AE193" s="239"/>
      <c r="AF193" s="239"/>
      <c r="AG193" s="239"/>
      <c r="AH193" s="239"/>
      <c r="AI193" s="239"/>
      <c r="AJ193" s="239"/>
      <c r="AK193" s="239"/>
    </row>
    <row r="194" spans="1:37" ht="15.75" customHeight="1">
      <c r="A194" s="239"/>
      <c r="B194" s="239"/>
      <c r="C194" s="239"/>
      <c r="D194" s="240"/>
      <c r="E194" s="240"/>
      <c r="F194" s="240"/>
      <c r="G194" s="240"/>
      <c r="H194" s="240"/>
      <c r="I194" s="240"/>
      <c r="J194" s="239"/>
      <c r="K194" s="239"/>
      <c r="L194" s="239"/>
      <c r="M194" s="240"/>
      <c r="N194" s="240"/>
      <c r="O194" s="240"/>
      <c r="P194" s="240"/>
      <c r="Q194" s="240"/>
      <c r="R194" s="239"/>
      <c r="S194" s="239"/>
      <c r="T194" s="239"/>
      <c r="U194" s="239"/>
      <c r="V194" s="239"/>
      <c r="W194" s="239"/>
      <c r="X194" s="239"/>
      <c r="Y194" s="239"/>
      <c r="Z194" s="239"/>
      <c r="AA194" s="239"/>
      <c r="AB194" s="239"/>
      <c r="AC194" s="239"/>
      <c r="AD194" s="239"/>
      <c r="AE194" s="239"/>
      <c r="AF194" s="239"/>
      <c r="AG194" s="239"/>
      <c r="AH194" s="239"/>
      <c r="AI194" s="239"/>
      <c r="AJ194" s="239"/>
      <c r="AK194" s="239"/>
    </row>
    <row r="195" spans="1:37" ht="15.75" customHeight="1">
      <c r="A195" s="239"/>
      <c r="B195" s="239"/>
      <c r="C195" s="239"/>
      <c r="D195" s="240"/>
      <c r="E195" s="240"/>
      <c r="F195" s="240"/>
      <c r="G195" s="240"/>
      <c r="H195" s="240"/>
      <c r="I195" s="240"/>
      <c r="J195" s="239"/>
      <c r="K195" s="239"/>
      <c r="L195" s="239"/>
      <c r="M195" s="240"/>
      <c r="N195" s="240"/>
      <c r="O195" s="240"/>
      <c r="P195" s="240"/>
      <c r="Q195" s="240"/>
      <c r="R195" s="239"/>
      <c r="S195" s="239"/>
      <c r="T195" s="239"/>
      <c r="U195" s="239"/>
      <c r="V195" s="239"/>
      <c r="W195" s="239"/>
      <c r="X195" s="239"/>
      <c r="Y195" s="239"/>
      <c r="Z195" s="239"/>
      <c r="AA195" s="239"/>
      <c r="AB195" s="239"/>
      <c r="AC195" s="239"/>
      <c r="AD195" s="239"/>
      <c r="AE195" s="239"/>
      <c r="AF195" s="239"/>
      <c r="AG195" s="239"/>
      <c r="AH195" s="239"/>
      <c r="AI195" s="239"/>
      <c r="AJ195" s="239"/>
      <c r="AK195" s="239"/>
    </row>
    <row r="196" spans="1:37" ht="15.75" customHeight="1">
      <c r="A196" s="239"/>
      <c r="B196" s="239"/>
      <c r="C196" s="239"/>
      <c r="D196" s="240"/>
      <c r="E196" s="240"/>
      <c r="F196" s="240"/>
      <c r="G196" s="240"/>
      <c r="H196" s="240"/>
      <c r="I196" s="240"/>
      <c r="J196" s="239"/>
      <c r="K196" s="239"/>
      <c r="L196" s="239"/>
      <c r="M196" s="240"/>
      <c r="N196" s="240"/>
      <c r="O196" s="240"/>
      <c r="P196" s="240"/>
      <c r="Q196" s="240"/>
      <c r="R196" s="239"/>
      <c r="S196" s="239"/>
      <c r="T196" s="239"/>
      <c r="U196" s="239"/>
      <c r="V196" s="239"/>
      <c r="W196" s="239"/>
      <c r="X196" s="239"/>
      <c r="Y196" s="239"/>
      <c r="Z196" s="239"/>
      <c r="AA196" s="239"/>
      <c r="AB196" s="239"/>
      <c r="AC196" s="239"/>
      <c r="AD196" s="239"/>
      <c r="AE196" s="239"/>
      <c r="AF196" s="239"/>
      <c r="AG196" s="239"/>
      <c r="AH196" s="239"/>
      <c r="AI196" s="239"/>
      <c r="AJ196" s="239"/>
      <c r="AK196" s="239"/>
    </row>
    <row r="197" spans="1:37" ht="15.75" customHeight="1">
      <c r="A197" s="239"/>
      <c r="B197" s="239"/>
      <c r="C197" s="239"/>
      <c r="D197" s="240"/>
      <c r="E197" s="240"/>
      <c r="F197" s="240"/>
      <c r="G197" s="240"/>
      <c r="H197" s="240"/>
      <c r="I197" s="240"/>
      <c r="J197" s="239"/>
      <c r="K197" s="239"/>
      <c r="L197" s="239"/>
      <c r="M197" s="240"/>
      <c r="N197" s="240"/>
      <c r="O197" s="240"/>
      <c r="P197" s="240"/>
      <c r="Q197" s="240"/>
      <c r="R197" s="239"/>
      <c r="S197" s="239"/>
      <c r="T197" s="239"/>
      <c r="U197" s="239"/>
      <c r="V197" s="239"/>
      <c r="W197" s="239"/>
      <c r="X197" s="239"/>
      <c r="Y197" s="239"/>
      <c r="Z197" s="239"/>
      <c r="AA197" s="239"/>
      <c r="AB197" s="239"/>
      <c r="AC197" s="239"/>
      <c r="AD197" s="239"/>
      <c r="AE197" s="239"/>
      <c r="AF197" s="239"/>
      <c r="AG197" s="239"/>
      <c r="AH197" s="239"/>
      <c r="AI197" s="239"/>
      <c r="AJ197" s="239"/>
      <c r="AK197" s="239"/>
    </row>
    <row r="198" spans="1:37" ht="15.75" customHeight="1">
      <c r="A198" s="239"/>
      <c r="B198" s="239"/>
      <c r="C198" s="239"/>
      <c r="D198" s="240"/>
      <c r="E198" s="240"/>
      <c r="F198" s="240"/>
      <c r="G198" s="240"/>
      <c r="H198" s="240"/>
      <c r="I198" s="240"/>
      <c r="J198" s="239"/>
      <c r="K198" s="239"/>
      <c r="L198" s="239"/>
      <c r="M198" s="240"/>
      <c r="N198" s="240"/>
      <c r="O198" s="240"/>
      <c r="P198" s="240"/>
      <c r="Q198" s="240"/>
      <c r="R198" s="239"/>
      <c r="S198" s="239"/>
      <c r="T198" s="239"/>
      <c r="U198" s="239"/>
      <c r="V198" s="239"/>
      <c r="W198" s="239"/>
      <c r="X198" s="239"/>
      <c r="Y198" s="239"/>
      <c r="Z198" s="239"/>
      <c r="AA198" s="239"/>
      <c r="AB198" s="239"/>
      <c r="AC198" s="239"/>
      <c r="AD198" s="239"/>
      <c r="AE198" s="239"/>
      <c r="AF198" s="239"/>
      <c r="AG198" s="239"/>
      <c r="AH198" s="239"/>
      <c r="AI198" s="239"/>
      <c r="AJ198" s="239"/>
      <c r="AK198" s="239"/>
    </row>
    <row r="199" spans="1:37" ht="15.75" customHeight="1">
      <c r="A199" s="239"/>
      <c r="B199" s="239"/>
      <c r="C199" s="239"/>
      <c r="D199" s="240"/>
      <c r="E199" s="240"/>
      <c r="F199" s="240"/>
      <c r="G199" s="240"/>
      <c r="H199" s="240"/>
      <c r="I199" s="240"/>
      <c r="J199" s="239"/>
      <c r="K199" s="239"/>
      <c r="L199" s="239"/>
      <c r="M199" s="240"/>
      <c r="N199" s="240"/>
      <c r="O199" s="240"/>
      <c r="P199" s="240"/>
      <c r="Q199" s="240"/>
      <c r="R199" s="239"/>
      <c r="S199" s="239"/>
      <c r="T199" s="239"/>
      <c r="U199" s="239"/>
      <c r="V199" s="239"/>
      <c r="W199" s="239"/>
      <c r="X199" s="239"/>
      <c r="Y199" s="239"/>
      <c r="Z199" s="239"/>
      <c r="AA199" s="239"/>
      <c r="AB199" s="239"/>
      <c r="AC199" s="239"/>
      <c r="AD199" s="239"/>
      <c r="AE199" s="239"/>
      <c r="AF199" s="239"/>
      <c r="AG199" s="239"/>
      <c r="AH199" s="239"/>
      <c r="AI199" s="239"/>
      <c r="AJ199" s="239"/>
      <c r="AK199" s="239"/>
    </row>
    <row r="200" spans="1:37" ht="15.75" customHeight="1">
      <c r="A200" s="239"/>
      <c r="B200" s="239"/>
      <c r="C200" s="239"/>
      <c r="D200" s="240"/>
      <c r="E200" s="240"/>
      <c r="F200" s="240"/>
      <c r="G200" s="240"/>
      <c r="H200" s="240"/>
      <c r="I200" s="240"/>
      <c r="J200" s="239"/>
      <c r="K200" s="239"/>
      <c r="L200" s="239"/>
      <c r="M200" s="240"/>
      <c r="N200" s="240"/>
      <c r="O200" s="240"/>
      <c r="P200" s="240"/>
      <c r="Q200" s="240"/>
      <c r="R200" s="239"/>
      <c r="S200" s="239"/>
      <c r="T200" s="239"/>
      <c r="U200" s="239"/>
      <c r="V200" s="239"/>
      <c r="W200" s="239"/>
      <c r="X200" s="239"/>
      <c r="Y200" s="239"/>
      <c r="Z200" s="239"/>
      <c r="AA200" s="239"/>
      <c r="AB200" s="239"/>
      <c r="AC200" s="239"/>
      <c r="AD200" s="239"/>
      <c r="AE200" s="239"/>
      <c r="AF200" s="239"/>
      <c r="AG200" s="239"/>
      <c r="AH200" s="239"/>
      <c r="AI200" s="239"/>
      <c r="AJ200" s="239"/>
      <c r="AK200" s="239"/>
    </row>
    <row r="201" spans="1:37" ht="15.75" customHeight="1">
      <c r="A201" s="239"/>
      <c r="B201" s="239"/>
      <c r="C201" s="239"/>
      <c r="D201" s="240"/>
      <c r="E201" s="240"/>
      <c r="F201" s="240"/>
      <c r="G201" s="240"/>
      <c r="H201" s="240"/>
      <c r="I201" s="240"/>
      <c r="J201" s="239"/>
      <c r="K201" s="239"/>
      <c r="L201" s="239"/>
      <c r="M201" s="240"/>
      <c r="N201" s="240"/>
      <c r="O201" s="240"/>
      <c r="P201" s="240"/>
      <c r="Q201" s="240"/>
      <c r="R201" s="239"/>
      <c r="S201" s="239"/>
      <c r="T201" s="239"/>
      <c r="U201" s="239"/>
      <c r="V201" s="239"/>
      <c r="W201" s="239"/>
      <c r="X201" s="239"/>
      <c r="Y201" s="239"/>
      <c r="Z201" s="239"/>
      <c r="AA201" s="239"/>
      <c r="AB201" s="239"/>
      <c r="AC201" s="239"/>
      <c r="AD201" s="239"/>
      <c r="AE201" s="239"/>
      <c r="AF201" s="239"/>
      <c r="AG201" s="239"/>
      <c r="AH201" s="239"/>
      <c r="AI201" s="239"/>
      <c r="AJ201" s="239"/>
      <c r="AK201" s="239"/>
    </row>
    <row r="202" spans="1:37" ht="15.75" customHeight="1">
      <c r="A202" s="239"/>
      <c r="B202" s="239"/>
      <c r="C202" s="239"/>
      <c r="D202" s="240"/>
      <c r="E202" s="240"/>
      <c r="F202" s="240"/>
      <c r="G202" s="240"/>
      <c r="H202" s="240"/>
      <c r="I202" s="240"/>
      <c r="J202" s="239"/>
      <c r="K202" s="239"/>
      <c r="L202" s="239"/>
      <c r="M202" s="240"/>
      <c r="N202" s="240"/>
      <c r="O202" s="240"/>
      <c r="P202" s="240"/>
      <c r="Q202" s="240"/>
      <c r="R202" s="239"/>
      <c r="S202" s="239"/>
      <c r="T202" s="239"/>
      <c r="U202" s="239"/>
      <c r="V202" s="239"/>
      <c r="W202" s="239"/>
      <c r="X202" s="239"/>
      <c r="Y202" s="239"/>
      <c r="Z202" s="239"/>
      <c r="AA202" s="239"/>
      <c r="AB202" s="239"/>
      <c r="AC202" s="239"/>
      <c r="AD202" s="239"/>
      <c r="AE202" s="239"/>
      <c r="AF202" s="239"/>
      <c r="AG202" s="239"/>
      <c r="AH202" s="239"/>
      <c r="AI202" s="239"/>
      <c r="AJ202" s="239"/>
      <c r="AK202" s="239"/>
    </row>
    <row r="203" spans="1:37" ht="15.75" customHeight="1">
      <c r="A203" s="239"/>
      <c r="B203" s="239"/>
      <c r="C203" s="239"/>
      <c r="D203" s="240"/>
      <c r="E203" s="240"/>
      <c r="F203" s="240"/>
      <c r="G203" s="240"/>
      <c r="H203" s="240"/>
      <c r="I203" s="240"/>
      <c r="J203" s="239"/>
      <c r="K203" s="239"/>
      <c r="L203" s="239"/>
      <c r="M203" s="240"/>
      <c r="N203" s="240"/>
      <c r="O203" s="240"/>
      <c r="P203" s="240"/>
      <c r="Q203" s="240"/>
      <c r="R203" s="239"/>
      <c r="S203" s="239"/>
      <c r="T203" s="239"/>
      <c r="U203" s="239"/>
      <c r="V203" s="239"/>
      <c r="W203" s="239"/>
      <c r="X203" s="239"/>
      <c r="Y203" s="239"/>
      <c r="Z203" s="239"/>
      <c r="AA203" s="239"/>
      <c r="AB203" s="239"/>
      <c r="AC203" s="239"/>
      <c r="AD203" s="239"/>
      <c r="AE203" s="239"/>
      <c r="AF203" s="239"/>
      <c r="AG203" s="239"/>
      <c r="AH203" s="239"/>
      <c r="AI203" s="239"/>
      <c r="AJ203" s="239"/>
      <c r="AK203" s="239"/>
    </row>
    <row r="204" spans="1:37" ht="15.75" customHeight="1">
      <c r="A204" s="239"/>
      <c r="B204" s="239"/>
      <c r="C204" s="239"/>
      <c r="D204" s="240"/>
      <c r="E204" s="240"/>
      <c r="F204" s="240"/>
      <c r="G204" s="240"/>
      <c r="H204" s="240"/>
      <c r="I204" s="240"/>
      <c r="J204" s="239"/>
      <c r="K204" s="239"/>
      <c r="L204" s="239"/>
      <c r="M204" s="240"/>
      <c r="N204" s="240"/>
      <c r="O204" s="240"/>
      <c r="P204" s="240"/>
      <c r="Q204" s="240"/>
      <c r="R204" s="239"/>
      <c r="S204" s="239"/>
      <c r="T204" s="239"/>
      <c r="U204" s="239"/>
      <c r="V204" s="239"/>
      <c r="W204" s="239"/>
      <c r="X204" s="239"/>
      <c r="Y204" s="239"/>
      <c r="Z204" s="239"/>
      <c r="AA204" s="239"/>
      <c r="AB204" s="239"/>
      <c r="AC204" s="239"/>
      <c r="AD204" s="239"/>
      <c r="AE204" s="239"/>
      <c r="AF204" s="239"/>
      <c r="AG204" s="239"/>
      <c r="AH204" s="239"/>
      <c r="AI204" s="239"/>
      <c r="AJ204" s="239"/>
      <c r="AK204" s="239"/>
    </row>
    <row r="205" spans="1:37" ht="15.75" customHeight="1">
      <c r="A205" s="239"/>
      <c r="B205" s="239"/>
      <c r="C205" s="239"/>
      <c r="D205" s="240"/>
      <c r="E205" s="240"/>
      <c r="F205" s="240"/>
      <c r="G205" s="240"/>
      <c r="H205" s="240"/>
      <c r="I205" s="240"/>
      <c r="J205" s="239"/>
      <c r="K205" s="239"/>
      <c r="L205" s="239"/>
      <c r="M205" s="240"/>
      <c r="N205" s="240"/>
      <c r="O205" s="240"/>
      <c r="P205" s="240"/>
      <c r="Q205" s="240"/>
      <c r="R205" s="239"/>
      <c r="S205" s="239"/>
      <c r="T205" s="239"/>
      <c r="U205" s="239"/>
      <c r="V205" s="239"/>
      <c r="W205" s="239"/>
      <c r="X205" s="239"/>
      <c r="Y205" s="239"/>
      <c r="Z205" s="239"/>
      <c r="AA205" s="239"/>
      <c r="AB205" s="239"/>
      <c r="AC205" s="239"/>
      <c r="AD205" s="239"/>
      <c r="AE205" s="239"/>
      <c r="AF205" s="239"/>
      <c r="AG205" s="239"/>
      <c r="AH205" s="239"/>
      <c r="AI205" s="239"/>
      <c r="AJ205" s="239"/>
      <c r="AK205" s="239"/>
    </row>
    <row r="206" spans="1:37" ht="15.75" customHeight="1">
      <c r="A206" s="239"/>
      <c r="B206" s="239"/>
      <c r="C206" s="239"/>
      <c r="D206" s="240"/>
      <c r="E206" s="240"/>
      <c r="F206" s="240"/>
      <c r="G206" s="240"/>
      <c r="H206" s="240"/>
      <c r="I206" s="240"/>
      <c r="J206" s="239"/>
      <c r="K206" s="239"/>
      <c r="L206" s="239"/>
      <c r="M206" s="240"/>
      <c r="N206" s="240"/>
      <c r="O206" s="240"/>
      <c r="P206" s="240"/>
      <c r="Q206" s="240"/>
      <c r="R206" s="239"/>
      <c r="S206" s="239"/>
      <c r="T206" s="239"/>
      <c r="U206" s="239"/>
      <c r="V206" s="239"/>
      <c r="W206" s="239"/>
      <c r="X206" s="239"/>
      <c r="Y206" s="239"/>
      <c r="Z206" s="239"/>
      <c r="AA206" s="239"/>
      <c r="AB206" s="239"/>
      <c r="AC206" s="239"/>
      <c r="AD206" s="239"/>
      <c r="AE206" s="239"/>
      <c r="AF206" s="239"/>
      <c r="AG206" s="239"/>
      <c r="AH206" s="239"/>
      <c r="AI206" s="239"/>
      <c r="AJ206" s="239"/>
      <c r="AK206" s="239"/>
    </row>
    <row r="207" spans="1:37" ht="15.75" customHeight="1">
      <c r="A207" s="239"/>
      <c r="B207" s="239"/>
      <c r="C207" s="239"/>
      <c r="D207" s="240"/>
      <c r="E207" s="240"/>
      <c r="F207" s="240"/>
      <c r="G207" s="240"/>
      <c r="H207" s="240"/>
      <c r="I207" s="240"/>
      <c r="J207" s="239"/>
      <c r="K207" s="239"/>
      <c r="L207" s="239"/>
      <c r="M207" s="240"/>
      <c r="N207" s="240"/>
      <c r="O207" s="240"/>
      <c r="P207" s="240"/>
      <c r="Q207" s="240"/>
      <c r="R207" s="239"/>
      <c r="S207" s="239"/>
      <c r="T207" s="239"/>
      <c r="U207" s="239"/>
      <c r="V207" s="239"/>
      <c r="W207" s="239"/>
      <c r="X207" s="239"/>
      <c r="Y207" s="239"/>
      <c r="Z207" s="239"/>
      <c r="AA207" s="239"/>
      <c r="AB207" s="239"/>
      <c r="AC207" s="239"/>
      <c r="AD207" s="239"/>
      <c r="AE207" s="239"/>
      <c r="AF207" s="239"/>
      <c r="AG207" s="239"/>
      <c r="AH207" s="239"/>
      <c r="AI207" s="239"/>
      <c r="AJ207" s="239"/>
      <c r="AK207" s="239"/>
    </row>
    <row r="208" spans="1:37" ht="15.75" customHeight="1">
      <c r="A208" s="239"/>
      <c r="B208" s="239"/>
      <c r="C208" s="239"/>
      <c r="D208" s="240"/>
      <c r="E208" s="240"/>
      <c r="F208" s="240"/>
      <c r="G208" s="240"/>
      <c r="H208" s="240"/>
      <c r="I208" s="240"/>
      <c r="J208" s="239"/>
      <c r="K208" s="239"/>
      <c r="L208" s="239"/>
      <c r="M208" s="240"/>
      <c r="N208" s="240"/>
      <c r="O208" s="240"/>
      <c r="P208" s="240"/>
      <c r="Q208" s="240"/>
      <c r="R208" s="239"/>
      <c r="S208" s="239"/>
      <c r="T208" s="239"/>
      <c r="U208" s="239"/>
      <c r="V208" s="239"/>
      <c r="W208" s="239"/>
      <c r="X208" s="239"/>
      <c r="Y208" s="239"/>
      <c r="Z208" s="239"/>
      <c r="AA208" s="239"/>
      <c r="AB208" s="239"/>
      <c r="AC208" s="239"/>
      <c r="AD208" s="239"/>
      <c r="AE208" s="239"/>
      <c r="AF208" s="239"/>
      <c r="AG208" s="239"/>
      <c r="AH208" s="239"/>
      <c r="AI208" s="239"/>
      <c r="AJ208" s="239"/>
      <c r="AK208" s="239"/>
    </row>
    <row r="209" spans="1:37" ht="15.75" customHeight="1">
      <c r="A209" s="239"/>
      <c r="B209" s="239"/>
      <c r="C209" s="239"/>
      <c r="D209" s="240"/>
      <c r="E209" s="240"/>
      <c r="F209" s="240"/>
      <c r="G209" s="240"/>
      <c r="H209" s="240"/>
      <c r="I209" s="240"/>
      <c r="J209" s="239"/>
      <c r="K209" s="239"/>
      <c r="L209" s="239"/>
      <c r="M209" s="240"/>
      <c r="N209" s="240"/>
      <c r="O209" s="240"/>
      <c r="P209" s="240"/>
      <c r="Q209" s="240"/>
      <c r="R209" s="239"/>
      <c r="S209" s="239"/>
      <c r="T209" s="239"/>
      <c r="U209" s="239"/>
      <c r="V209" s="239"/>
      <c r="W209" s="239"/>
      <c r="X209" s="239"/>
      <c r="Y209" s="239"/>
      <c r="Z209" s="239"/>
      <c r="AA209" s="239"/>
      <c r="AB209" s="239"/>
      <c r="AC209" s="239"/>
      <c r="AD209" s="239"/>
      <c r="AE209" s="239"/>
      <c r="AF209" s="239"/>
      <c r="AG209" s="239"/>
      <c r="AH209" s="239"/>
      <c r="AI209" s="239"/>
      <c r="AJ209" s="239"/>
      <c r="AK209" s="239"/>
    </row>
    <row r="210" spans="1:37" ht="15.75" customHeight="1">
      <c r="A210" s="239"/>
      <c r="B210" s="239"/>
      <c r="C210" s="239"/>
      <c r="D210" s="240"/>
      <c r="E210" s="240"/>
      <c r="F210" s="240"/>
      <c r="G210" s="240"/>
      <c r="H210" s="240"/>
      <c r="I210" s="240"/>
      <c r="J210" s="239"/>
      <c r="K210" s="239"/>
      <c r="L210" s="239"/>
      <c r="M210" s="240"/>
      <c r="N210" s="240"/>
      <c r="O210" s="240"/>
      <c r="P210" s="240"/>
      <c r="Q210" s="240"/>
      <c r="R210" s="239"/>
      <c r="S210" s="239"/>
      <c r="T210" s="239"/>
      <c r="U210" s="239"/>
      <c r="V210" s="239"/>
      <c r="W210" s="239"/>
      <c r="X210" s="239"/>
      <c r="Y210" s="239"/>
      <c r="Z210" s="239"/>
      <c r="AA210" s="239"/>
      <c r="AB210" s="239"/>
      <c r="AC210" s="239"/>
      <c r="AD210" s="239"/>
      <c r="AE210" s="239"/>
      <c r="AF210" s="239"/>
      <c r="AG210" s="239"/>
      <c r="AH210" s="239"/>
      <c r="AI210" s="239"/>
      <c r="AJ210" s="239"/>
      <c r="AK210" s="239"/>
    </row>
    <row r="211" spans="1:37" ht="15.75" customHeight="1">
      <c r="A211" s="239"/>
      <c r="B211" s="239"/>
      <c r="C211" s="239"/>
      <c r="D211" s="240"/>
      <c r="E211" s="240"/>
      <c r="F211" s="240"/>
      <c r="G211" s="240"/>
      <c r="H211" s="240"/>
      <c r="I211" s="240"/>
      <c r="J211" s="239"/>
      <c r="K211" s="239"/>
      <c r="L211" s="239"/>
      <c r="M211" s="240"/>
      <c r="N211" s="240"/>
      <c r="O211" s="240"/>
      <c r="P211" s="240"/>
      <c r="Q211" s="240"/>
      <c r="R211" s="239"/>
      <c r="S211" s="239"/>
      <c r="T211" s="239"/>
      <c r="U211" s="239"/>
      <c r="V211" s="239"/>
      <c r="W211" s="239"/>
      <c r="X211" s="239"/>
      <c r="Y211" s="239"/>
      <c r="Z211" s="239"/>
      <c r="AA211" s="239"/>
      <c r="AB211" s="239"/>
      <c r="AC211" s="239"/>
      <c r="AD211" s="239"/>
      <c r="AE211" s="239"/>
      <c r="AF211" s="239"/>
      <c r="AG211" s="239"/>
      <c r="AH211" s="239"/>
      <c r="AI211" s="239"/>
      <c r="AJ211" s="239"/>
      <c r="AK211" s="239"/>
    </row>
    <row r="212" spans="1:37" ht="15.75" customHeight="1">
      <c r="A212" s="239"/>
      <c r="B212" s="239"/>
      <c r="C212" s="239"/>
      <c r="D212" s="240"/>
      <c r="E212" s="240"/>
      <c r="F212" s="240"/>
      <c r="G212" s="240"/>
      <c r="H212" s="240"/>
      <c r="I212" s="240"/>
      <c r="J212" s="239"/>
      <c r="K212" s="239"/>
      <c r="L212" s="239"/>
      <c r="M212" s="240"/>
      <c r="N212" s="240"/>
      <c r="O212" s="240"/>
      <c r="P212" s="240"/>
      <c r="Q212" s="240"/>
      <c r="R212" s="239"/>
      <c r="S212" s="239"/>
      <c r="T212" s="239"/>
      <c r="U212" s="239"/>
      <c r="V212" s="239"/>
      <c r="W212" s="239"/>
      <c r="X212" s="239"/>
      <c r="Y212" s="239"/>
      <c r="Z212" s="239"/>
      <c r="AA212" s="239"/>
      <c r="AB212" s="239"/>
      <c r="AC212" s="239"/>
      <c r="AD212" s="239"/>
      <c r="AE212" s="239"/>
      <c r="AF212" s="239"/>
      <c r="AG212" s="239"/>
      <c r="AH212" s="239"/>
      <c r="AI212" s="239"/>
      <c r="AJ212" s="239"/>
      <c r="AK212" s="239"/>
    </row>
    <row r="213" spans="1:37" ht="15.75" customHeight="1">
      <c r="A213" s="239"/>
      <c r="B213" s="239"/>
      <c r="C213" s="239"/>
      <c r="D213" s="240"/>
      <c r="E213" s="240"/>
      <c r="F213" s="240"/>
      <c r="G213" s="240"/>
      <c r="H213" s="240"/>
      <c r="I213" s="240"/>
      <c r="J213" s="239"/>
      <c r="K213" s="239"/>
      <c r="L213" s="239"/>
      <c r="M213" s="240"/>
      <c r="N213" s="240"/>
      <c r="O213" s="240"/>
      <c r="P213" s="240"/>
      <c r="Q213" s="240"/>
      <c r="R213" s="239"/>
      <c r="S213" s="239"/>
      <c r="T213" s="239"/>
      <c r="U213" s="239"/>
      <c r="V213" s="239"/>
      <c r="W213" s="239"/>
      <c r="X213" s="239"/>
      <c r="Y213" s="239"/>
      <c r="Z213" s="239"/>
      <c r="AA213" s="239"/>
      <c r="AB213" s="239"/>
      <c r="AC213" s="239"/>
      <c r="AD213" s="239"/>
      <c r="AE213" s="239"/>
      <c r="AF213" s="239"/>
      <c r="AG213" s="239"/>
      <c r="AH213" s="239"/>
      <c r="AI213" s="239"/>
      <c r="AJ213" s="239"/>
      <c r="AK213" s="239"/>
    </row>
    <row r="214" spans="1:37" ht="15.75" customHeight="1">
      <c r="A214" s="239"/>
      <c r="B214" s="239"/>
      <c r="C214" s="239"/>
      <c r="D214" s="240"/>
      <c r="E214" s="240"/>
      <c r="F214" s="240"/>
      <c r="G214" s="240"/>
      <c r="H214" s="240"/>
      <c r="I214" s="240"/>
      <c r="J214" s="239"/>
      <c r="K214" s="239"/>
      <c r="L214" s="239"/>
      <c r="M214" s="240"/>
      <c r="N214" s="240"/>
      <c r="O214" s="240"/>
      <c r="P214" s="240"/>
      <c r="Q214" s="240"/>
      <c r="R214" s="239"/>
      <c r="S214" s="239"/>
      <c r="T214" s="239"/>
      <c r="U214" s="239"/>
      <c r="V214" s="239"/>
      <c r="W214" s="239"/>
      <c r="X214" s="239"/>
      <c r="Y214" s="239"/>
      <c r="Z214" s="239"/>
      <c r="AA214" s="239"/>
      <c r="AB214" s="239"/>
      <c r="AC214" s="239"/>
      <c r="AD214" s="239"/>
      <c r="AE214" s="239"/>
      <c r="AF214" s="239"/>
      <c r="AG214" s="239"/>
      <c r="AH214" s="239"/>
      <c r="AI214" s="239"/>
      <c r="AJ214" s="239"/>
      <c r="AK214" s="239"/>
    </row>
    <row r="215" spans="1:37" ht="15.75" customHeight="1">
      <c r="A215" s="239"/>
      <c r="B215" s="239"/>
      <c r="C215" s="239"/>
      <c r="D215" s="240"/>
      <c r="E215" s="240"/>
      <c r="F215" s="240"/>
      <c r="G215" s="240"/>
      <c r="H215" s="240"/>
      <c r="I215" s="240"/>
      <c r="J215" s="239"/>
      <c r="K215" s="239"/>
      <c r="L215" s="239"/>
      <c r="M215" s="240"/>
      <c r="N215" s="240"/>
      <c r="O215" s="240"/>
      <c r="P215" s="240"/>
      <c r="Q215" s="240"/>
      <c r="R215" s="239"/>
      <c r="S215" s="239"/>
      <c r="T215" s="239"/>
      <c r="U215" s="239"/>
      <c r="V215" s="239"/>
      <c r="W215" s="239"/>
      <c r="X215" s="239"/>
      <c r="Y215" s="239"/>
      <c r="Z215" s="239"/>
      <c r="AA215" s="239"/>
      <c r="AB215" s="239"/>
      <c r="AC215" s="239"/>
      <c r="AD215" s="239"/>
      <c r="AE215" s="239"/>
      <c r="AF215" s="239"/>
      <c r="AG215" s="239"/>
      <c r="AH215" s="239"/>
      <c r="AI215" s="239"/>
      <c r="AJ215" s="239"/>
      <c r="AK215" s="239"/>
    </row>
    <row r="216" spans="1:37" ht="15.75" customHeight="1">
      <c r="A216" s="239"/>
      <c r="B216" s="239"/>
      <c r="C216" s="239"/>
      <c r="D216" s="240"/>
      <c r="E216" s="240"/>
      <c r="F216" s="240"/>
      <c r="G216" s="240"/>
      <c r="H216" s="240"/>
      <c r="I216" s="240"/>
      <c r="J216" s="239"/>
      <c r="K216" s="239"/>
      <c r="L216" s="239"/>
      <c r="M216" s="240"/>
      <c r="N216" s="240"/>
      <c r="O216" s="240"/>
      <c r="P216" s="240"/>
      <c r="Q216" s="240"/>
      <c r="R216" s="239"/>
      <c r="S216" s="239"/>
      <c r="T216" s="239"/>
      <c r="U216" s="239"/>
      <c r="V216" s="239"/>
      <c r="W216" s="239"/>
      <c r="X216" s="239"/>
      <c r="Y216" s="239"/>
      <c r="Z216" s="239"/>
      <c r="AA216" s="239"/>
      <c r="AB216" s="239"/>
      <c r="AC216" s="239"/>
      <c r="AD216" s="239"/>
      <c r="AE216" s="239"/>
      <c r="AF216" s="239"/>
      <c r="AG216" s="239"/>
      <c r="AH216" s="239"/>
      <c r="AI216" s="239"/>
      <c r="AJ216" s="239"/>
      <c r="AK216" s="239"/>
    </row>
    <row r="217" spans="1:37" ht="15.75" customHeight="1">
      <c r="A217" s="239"/>
      <c r="B217" s="239"/>
      <c r="C217" s="239"/>
      <c r="D217" s="240"/>
      <c r="E217" s="240"/>
      <c r="F217" s="240"/>
      <c r="G217" s="240"/>
      <c r="H217" s="240"/>
      <c r="I217" s="240"/>
      <c r="J217" s="239"/>
      <c r="K217" s="239"/>
      <c r="L217" s="239"/>
      <c r="M217" s="240"/>
      <c r="N217" s="240"/>
      <c r="O217" s="240"/>
      <c r="P217" s="240"/>
      <c r="Q217" s="240"/>
      <c r="R217" s="239"/>
      <c r="S217" s="239"/>
      <c r="T217" s="239"/>
      <c r="U217" s="239"/>
      <c r="V217" s="239"/>
      <c r="W217" s="239"/>
      <c r="X217" s="239"/>
      <c r="Y217" s="239"/>
      <c r="Z217" s="239"/>
      <c r="AA217" s="239"/>
      <c r="AB217" s="239"/>
      <c r="AC217" s="239"/>
      <c r="AD217" s="239"/>
      <c r="AE217" s="239"/>
      <c r="AF217" s="239"/>
      <c r="AG217" s="239"/>
      <c r="AH217" s="239"/>
      <c r="AI217" s="239"/>
      <c r="AJ217" s="239"/>
      <c r="AK217" s="239"/>
    </row>
    <row r="218" spans="1:37" ht="15.75" customHeight="1">
      <c r="A218" s="239"/>
      <c r="B218" s="239"/>
      <c r="C218" s="239"/>
      <c r="D218" s="240"/>
      <c r="E218" s="240"/>
      <c r="F218" s="240"/>
      <c r="G218" s="240"/>
      <c r="H218" s="240"/>
      <c r="I218" s="240"/>
      <c r="J218" s="239"/>
      <c r="K218" s="239"/>
      <c r="L218" s="239"/>
      <c r="M218" s="240"/>
      <c r="N218" s="240"/>
      <c r="O218" s="240"/>
      <c r="P218" s="240"/>
      <c r="Q218" s="240"/>
      <c r="R218" s="239"/>
      <c r="S218" s="239"/>
      <c r="T218" s="239"/>
      <c r="U218" s="239"/>
      <c r="V218" s="239"/>
      <c r="W218" s="239"/>
      <c r="X218" s="239"/>
      <c r="Y218" s="239"/>
      <c r="Z218" s="239"/>
      <c r="AA218" s="239"/>
      <c r="AB218" s="239"/>
      <c r="AC218" s="239"/>
      <c r="AD218" s="239"/>
      <c r="AE218" s="239"/>
      <c r="AF218" s="239"/>
      <c r="AG218" s="239"/>
      <c r="AH218" s="239"/>
      <c r="AI218" s="239"/>
      <c r="AJ218" s="239"/>
      <c r="AK218" s="239"/>
    </row>
    <row r="219" spans="1:37" ht="15.75" customHeight="1">
      <c r="A219" s="239"/>
      <c r="B219" s="239"/>
      <c r="C219" s="239"/>
      <c r="D219" s="240"/>
      <c r="E219" s="240"/>
      <c r="F219" s="240"/>
      <c r="G219" s="240"/>
      <c r="H219" s="240"/>
      <c r="I219" s="240"/>
      <c r="J219" s="239"/>
      <c r="K219" s="239"/>
      <c r="L219" s="239"/>
      <c r="M219" s="240"/>
      <c r="N219" s="240"/>
      <c r="O219" s="240"/>
      <c r="P219" s="240"/>
      <c r="Q219" s="240"/>
      <c r="R219" s="239"/>
      <c r="S219" s="239"/>
      <c r="T219" s="239"/>
      <c r="U219" s="239"/>
      <c r="V219" s="239"/>
      <c r="W219" s="239"/>
      <c r="X219" s="239"/>
      <c r="Y219" s="239"/>
      <c r="Z219" s="239"/>
      <c r="AA219" s="239"/>
      <c r="AB219" s="239"/>
      <c r="AC219" s="239"/>
      <c r="AD219" s="239"/>
      <c r="AE219" s="239"/>
      <c r="AF219" s="239"/>
      <c r="AG219" s="239"/>
      <c r="AH219" s="239"/>
      <c r="AI219" s="239"/>
      <c r="AJ219" s="239"/>
      <c r="AK219" s="239"/>
    </row>
    <row r="220" spans="1:37" ht="15.75" customHeight="1">
      <c r="A220" s="239"/>
      <c r="B220" s="239"/>
      <c r="C220" s="239"/>
      <c r="D220" s="240"/>
      <c r="E220" s="240"/>
      <c r="F220" s="240"/>
      <c r="G220" s="240"/>
      <c r="H220" s="240"/>
      <c r="I220" s="240"/>
      <c r="J220" s="239"/>
      <c r="K220" s="239"/>
      <c r="L220" s="239"/>
      <c r="M220" s="240"/>
      <c r="N220" s="240"/>
      <c r="O220" s="240"/>
      <c r="P220" s="240"/>
      <c r="Q220" s="240"/>
      <c r="R220" s="239"/>
      <c r="S220" s="239"/>
      <c r="T220" s="239"/>
      <c r="U220" s="239"/>
      <c r="V220" s="239"/>
      <c r="W220" s="239"/>
      <c r="X220" s="239"/>
      <c r="Y220" s="239"/>
      <c r="Z220" s="239"/>
      <c r="AA220" s="239"/>
      <c r="AB220" s="239"/>
      <c r="AC220" s="239"/>
      <c r="AD220" s="239"/>
      <c r="AE220" s="239"/>
      <c r="AF220" s="239"/>
      <c r="AG220" s="239"/>
      <c r="AH220" s="239"/>
      <c r="AI220" s="239"/>
      <c r="AJ220" s="239"/>
      <c r="AK220" s="239"/>
    </row>
    <row r="221" spans="1:37" ht="15.75" customHeight="1">
      <c r="A221" s="239"/>
      <c r="B221" s="239"/>
      <c r="C221" s="239"/>
      <c r="D221" s="240"/>
      <c r="E221" s="240"/>
      <c r="F221" s="240"/>
      <c r="G221" s="240"/>
      <c r="H221" s="240"/>
      <c r="I221" s="240"/>
      <c r="J221" s="239"/>
      <c r="K221" s="239"/>
      <c r="L221" s="239"/>
      <c r="M221" s="240"/>
      <c r="N221" s="240"/>
      <c r="O221" s="240"/>
      <c r="P221" s="240"/>
      <c r="Q221" s="240"/>
      <c r="R221" s="239"/>
      <c r="S221" s="239"/>
      <c r="T221" s="239"/>
      <c r="U221" s="239"/>
      <c r="V221" s="239"/>
      <c r="W221" s="239"/>
      <c r="X221" s="239"/>
      <c r="Y221" s="239"/>
      <c r="Z221" s="239"/>
      <c r="AA221" s="239"/>
      <c r="AB221" s="239"/>
      <c r="AC221" s="239"/>
      <c r="AD221" s="239"/>
      <c r="AE221" s="239"/>
      <c r="AF221" s="239"/>
      <c r="AG221" s="239"/>
      <c r="AH221" s="239"/>
      <c r="AI221" s="239"/>
      <c r="AJ221" s="239"/>
      <c r="AK221" s="239"/>
    </row>
    <row r="222" spans="1:37" ht="15.75" customHeight="1">
      <c r="A222" s="239"/>
      <c r="B222" s="239"/>
      <c r="C222" s="239"/>
      <c r="D222" s="240"/>
      <c r="E222" s="240"/>
      <c r="F222" s="240"/>
      <c r="G222" s="240"/>
      <c r="H222" s="240"/>
      <c r="I222" s="240"/>
      <c r="J222" s="239"/>
      <c r="K222" s="239"/>
      <c r="L222" s="239"/>
      <c r="M222" s="240"/>
      <c r="N222" s="240"/>
      <c r="O222" s="240"/>
      <c r="P222" s="240"/>
      <c r="Q222" s="240"/>
      <c r="R222" s="239"/>
      <c r="S222" s="239"/>
      <c r="T222" s="239"/>
      <c r="U222" s="239"/>
      <c r="V222" s="239"/>
      <c r="W222" s="239"/>
      <c r="X222" s="239"/>
      <c r="Y222" s="239"/>
      <c r="Z222" s="239"/>
      <c r="AA222" s="239"/>
      <c r="AB222" s="239"/>
      <c r="AC222" s="239"/>
      <c r="AD222" s="239"/>
      <c r="AE222" s="239"/>
      <c r="AF222" s="239"/>
      <c r="AG222" s="239"/>
      <c r="AH222" s="239"/>
      <c r="AI222" s="239"/>
      <c r="AJ222" s="239"/>
      <c r="AK222" s="239"/>
    </row>
    <row r="223" spans="1:37" ht="15.75" customHeight="1">
      <c r="A223" s="239"/>
      <c r="B223" s="239"/>
      <c r="C223" s="239"/>
      <c r="D223" s="240"/>
      <c r="E223" s="240"/>
      <c r="F223" s="240"/>
      <c r="G223" s="240"/>
      <c r="H223" s="240"/>
      <c r="I223" s="240"/>
      <c r="J223" s="239"/>
      <c r="K223" s="239"/>
      <c r="L223" s="239"/>
      <c r="M223" s="240"/>
      <c r="N223" s="240"/>
      <c r="O223" s="240"/>
      <c r="P223" s="240"/>
      <c r="Q223" s="240"/>
      <c r="R223" s="239"/>
      <c r="S223" s="239"/>
      <c r="T223" s="239"/>
      <c r="U223" s="239"/>
      <c r="V223" s="239"/>
      <c r="W223" s="239"/>
      <c r="X223" s="239"/>
      <c r="Y223" s="239"/>
      <c r="Z223" s="239"/>
      <c r="AA223" s="239"/>
      <c r="AB223" s="239"/>
      <c r="AC223" s="239"/>
      <c r="AD223" s="239"/>
      <c r="AE223" s="239"/>
      <c r="AF223" s="239"/>
      <c r="AG223" s="239"/>
      <c r="AH223" s="239"/>
      <c r="AI223" s="239"/>
      <c r="AJ223" s="239"/>
      <c r="AK223" s="239"/>
    </row>
    <row r="224" spans="1:37" ht="15.75" customHeight="1">
      <c r="A224" s="239"/>
      <c r="B224" s="239"/>
      <c r="C224" s="239"/>
      <c r="D224" s="240"/>
      <c r="E224" s="240"/>
      <c r="F224" s="240"/>
      <c r="G224" s="240"/>
      <c r="H224" s="240"/>
      <c r="I224" s="240"/>
      <c r="J224" s="239"/>
      <c r="K224" s="239"/>
      <c r="L224" s="239"/>
      <c r="M224" s="240"/>
      <c r="N224" s="240"/>
      <c r="O224" s="240"/>
      <c r="P224" s="240"/>
      <c r="Q224" s="240"/>
      <c r="R224" s="239"/>
      <c r="S224" s="239"/>
      <c r="T224" s="239"/>
      <c r="U224" s="239"/>
      <c r="V224" s="239"/>
      <c r="W224" s="239"/>
      <c r="X224" s="239"/>
      <c r="Y224" s="239"/>
      <c r="Z224" s="239"/>
      <c r="AA224" s="239"/>
      <c r="AB224" s="239"/>
      <c r="AC224" s="239"/>
      <c r="AD224" s="239"/>
      <c r="AE224" s="239"/>
      <c r="AF224" s="239"/>
      <c r="AG224" s="239"/>
      <c r="AH224" s="239"/>
      <c r="AI224" s="239"/>
      <c r="AJ224" s="239"/>
      <c r="AK224" s="239"/>
    </row>
    <row r="225" spans="1:37" ht="15.75" customHeight="1">
      <c r="A225" s="239"/>
      <c r="B225" s="239"/>
      <c r="C225" s="239"/>
      <c r="D225" s="240"/>
      <c r="E225" s="240"/>
      <c r="F225" s="240"/>
      <c r="G225" s="240"/>
      <c r="H225" s="240"/>
      <c r="I225" s="240"/>
      <c r="J225" s="239"/>
      <c r="K225" s="239"/>
      <c r="L225" s="239"/>
      <c r="M225" s="240"/>
      <c r="N225" s="240"/>
      <c r="O225" s="240"/>
      <c r="P225" s="240"/>
      <c r="Q225" s="240"/>
      <c r="R225" s="239"/>
      <c r="S225" s="239"/>
      <c r="T225" s="239"/>
      <c r="U225" s="239"/>
      <c r="V225" s="239"/>
      <c r="W225" s="239"/>
      <c r="X225" s="239"/>
      <c r="Y225" s="239"/>
      <c r="Z225" s="239"/>
      <c r="AA225" s="239"/>
      <c r="AB225" s="239"/>
      <c r="AC225" s="239"/>
      <c r="AD225" s="239"/>
      <c r="AE225" s="239"/>
      <c r="AF225" s="239"/>
      <c r="AG225" s="239"/>
      <c r="AH225" s="239"/>
      <c r="AI225" s="239"/>
      <c r="AJ225" s="239"/>
      <c r="AK225" s="239"/>
    </row>
    <row r="226" spans="1:37" ht="15.75" customHeight="1">
      <c r="A226" s="239"/>
      <c r="B226" s="239"/>
      <c r="C226" s="239"/>
      <c r="D226" s="240"/>
      <c r="E226" s="240"/>
      <c r="F226" s="240"/>
      <c r="G226" s="240"/>
      <c r="H226" s="240"/>
      <c r="I226" s="240"/>
      <c r="J226" s="239"/>
      <c r="K226" s="239"/>
      <c r="L226" s="239"/>
      <c r="M226" s="240"/>
      <c r="N226" s="240"/>
      <c r="O226" s="240"/>
      <c r="P226" s="240"/>
      <c r="Q226" s="240"/>
      <c r="R226" s="239"/>
      <c r="S226" s="239"/>
      <c r="T226" s="239"/>
      <c r="U226" s="239"/>
      <c r="V226" s="239"/>
      <c r="W226" s="239"/>
      <c r="X226" s="239"/>
      <c r="Y226" s="239"/>
      <c r="Z226" s="239"/>
      <c r="AA226" s="239"/>
      <c r="AB226" s="239"/>
      <c r="AC226" s="239"/>
      <c r="AD226" s="239"/>
      <c r="AE226" s="239"/>
      <c r="AF226" s="239"/>
      <c r="AG226" s="239"/>
      <c r="AH226" s="239"/>
      <c r="AI226" s="239"/>
      <c r="AJ226" s="239"/>
      <c r="AK226" s="239"/>
    </row>
    <row r="227" spans="1:37" ht="15.75" customHeight="1">
      <c r="A227" s="239"/>
      <c r="B227" s="239"/>
      <c r="C227" s="239"/>
      <c r="D227" s="240"/>
      <c r="E227" s="240"/>
      <c r="F227" s="240"/>
      <c r="G227" s="240"/>
      <c r="H227" s="240"/>
      <c r="I227" s="240"/>
      <c r="J227" s="239"/>
      <c r="K227" s="239"/>
      <c r="L227" s="239"/>
      <c r="M227" s="240"/>
      <c r="N227" s="240"/>
      <c r="O227" s="240"/>
      <c r="P227" s="240"/>
      <c r="Q227" s="240"/>
      <c r="R227" s="239"/>
      <c r="S227" s="239"/>
      <c r="T227" s="239"/>
      <c r="U227" s="239"/>
      <c r="V227" s="239"/>
      <c r="W227" s="239"/>
      <c r="X227" s="239"/>
      <c r="Y227" s="239"/>
      <c r="Z227" s="239"/>
      <c r="AA227" s="239"/>
      <c r="AB227" s="239"/>
      <c r="AC227" s="239"/>
      <c r="AD227" s="239"/>
      <c r="AE227" s="239"/>
      <c r="AF227" s="239"/>
      <c r="AG227" s="239"/>
      <c r="AH227" s="239"/>
      <c r="AI227" s="239"/>
      <c r="AJ227" s="239"/>
      <c r="AK227" s="239"/>
    </row>
    <row r="228" spans="1:37" ht="15.75" customHeight="1">
      <c r="A228" s="239"/>
      <c r="B228" s="239"/>
      <c r="C228" s="239"/>
      <c r="D228" s="240"/>
      <c r="E228" s="240"/>
      <c r="F228" s="240"/>
      <c r="G228" s="240"/>
      <c r="H228" s="240"/>
      <c r="I228" s="240"/>
      <c r="J228" s="239"/>
      <c r="K228" s="239"/>
      <c r="L228" s="239"/>
      <c r="M228" s="240"/>
      <c r="N228" s="240"/>
      <c r="O228" s="240"/>
      <c r="P228" s="240"/>
      <c r="Q228" s="240"/>
      <c r="R228" s="239"/>
      <c r="S228" s="239"/>
      <c r="T228" s="239"/>
      <c r="U228" s="239"/>
      <c r="V228" s="239"/>
      <c r="W228" s="239"/>
      <c r="X228" s="239"/>
      <c r="Y228" s="239"/>
      <c r="Z228" s="239"/>
      <c r="AA228" s="239"/>
      <c r="AB228" s="239"/>
      <c r="AC228" s="239"/>
      <c r="AD228" s="239"/>
      <c r="AE228" s="239"/>
      <c r="AF228" s="239"/>
      <c r="AG228" s="239"/>
      <c r="AH228" s="239"/>
      <c r="AI228" s="239"/>
      <c r="AJ228" s="239"/>
      <c r="AK228" s="239"/>
    </row>
    <row r="229" spans="1:37" ht="15.75" customHeight="1">
      <c r="A229" s="239"/>
      <c r="B229" s="239"/>
      <c r="C229" s="239"/>
      <c r="D229" s="240"/>
      <c r="E229" s="240"/>
      <c r="F229" s="240"/>
      <c r="G229" s="240"/>
      <c r="H229" s="240"/>
      <c r="I229" s="240"/>
      <c r="J229" s="239"/>
      <c r="K229" s="239"/>
      <c r="L229" s="239"/>
      <c r="M229" s="240"/>
      <c r="N229" s="240"/>
      <c r="O229" s="240"/>
      <c r="P229" s="240"/>
      <c r="Q229" s="240"/>
      <c r="R229" s="239"/>
      <c r="S229" s="239"/>
      <c r="T229" s="239"/>
      <c r="U229" s="239"/>
      <c r="V229" s="239"/>
      <c r="W229" s="239"/>
      <c r="X229" s="239"/>
      <c r="Y229" s="239"/>
      <c r="Z229" s="239"/>
      <c r="AA229" s="239"/>
      <c r="AB229" s="239"/>
      <c r="AC229" s="239"/>
      <c r="AD229" s="239"/>
      <c r="AE229" s="239"/>
      <c r="AF229" s="239"/>
      <c r="AG229" s="239"/>
      <c r="AH229" s="239"/>
      <c r="AI229" s="239"/>
      <c r="AJ229" s="239"/>
      <c r="AK229" s="239"/>
    </row>
    <row r="230" spans="1:37" ht="15.75" customHeight="1">
      <c r="A230" s="239"/>
      <c r="B230" s="239"/>
      <c r="C230" s="239"/>
      <c r="D230" s="240"/>
      <c r="E230" s="240"/>
      <c r="F230" s="240"/>
      <c r="G230" s="240"/>
      <c r="H230" s="240"/>
      <c r="I230" s="240"/>
      <c r="J230" s="239"/>
      <c r="K230" s="239"/>
      <c r="L230" s="239"/>
      <c r="M230" s="240"/>
      <c r="N230" s="240"/>
      <c r="O230" s="240"/>
      <c r="P230" s="240"/>
      <c r="Q230" s="240"/>
      <c r="R230" s="239"/>
      <c r="S230" s="239"/>
      <c r="T230" s="239"/>
      <c r="U230" s="239"/>
      <c r="V230" s="239"/>
      <c r="W230" s="239"/>
      <c r="X230" s="239"/>
      <c r="Y230" s="239"/>
      <c r="Z230" s="239"/>
      <c r="AA230" s="239"/>
      <c r="AB230" s="239"/>
      <c r="AC230" s="239"/>
      <c r="AD230" s="239"/>
      <c r="AE230" s="239"/>
      <c r="AF230" s="239"/>
      <c r="AG230" s="239"/>
      <c r="AH230" s="239"/>
      <c r="AI230" s="239"/>
      <c r="AJ230" s="239"/>
      <c r="AK230" s="239"/>
    </row>
    <row r="231" spans="1:37" ht="15.75" customHeight="1">
      <c r="A231" s="239"/>
      <c r="B231" s="239"/>
      <c r="C231" s="239"/>
      <c r="D231" s="240"/>
      <c r="E231" s="240"/>
      <c r="F231" s="240"/>
      <c r="G231" s="240"/>
      <c r="H231" s="240"/>
      <c r="I231" s="240"/>
      <c r="J231" s="239"/>
      <c r="K231" s="239"/>
      <c r="L231" s="239"/>
      <c r="M231" s="240"/>
      <c r="N231" s="240"/>
      <c r="O231" s="240"/>
      <c r="P231" s="240"/>
      <c r="Q231" s="240"/>
      <c r="R231" s="239"/>
      <c r="S231" s="239"/>
      <c r="T231" s="239"/>
      <c r="U231" s="239"/>
      <c r="V231" s="239"/>
      <c r="W231" s="239"/>
      <c r="X231" s="239"/>
      <c r="Y231" s="239"/>
      <c r="Z231" s="239"/>
      <c r="AA231" s="239"/>
      <c r="AB231" s="239"/>
      <c r="AC231" s="239"/>
      <c r="AD231" s="239"/>
      <c r="AE231" s="239"/>
      <c r="AF231" s="239"/>
      <c r="AG231" s="239"/>
      <c r="AH231" s="239"/>
      <c r="AI231" s="239"/>
      <c r="AJ231" s="239"/>
      <c r="AK231" s="239"/>
    </row>
    <row r="232" spans="1:37" ht="15.75" customHeight="1">
      <c r="A232" s="239"/>
      <c r="B232" s="239"/>
      <c r="C232" s="239"/>
      <c r="D232" s="240"/>
      <c r="E232" s="240"/>
      <c r="F232" s="240"/>
      <c r="G232" s="240"/>
      <c r="H232" s="240"/>
      <c r="I232" s="240"/>
      <c r="J232" s="239"/>
      <c r="K232" s="239"/>
      <c r="L232" s="239"/>
      <c r="M232" s="240"/>
      <c r="N232" s="240"/>
      <c r="O232" s="240"/>
      <c r="P232" s="240"/>
      <c r="Q232" s="240"/>
      <c r="R232" s="239"/>
      <c r="S232" s="239"/>
      <c r="T232" s="239"/>
      <c r="U232" s="239"/>
      <c r="V232" s="239"/>
      <c r="W232" s="239"/>
      <c r="X232" s="239"/>
      <c r="Y232" s="239"/>
      <c r="Z232" s="239"/>
      <c r="AA232" s="239"/>
      <c r="AB232" s="239"/>
      <c r="AC232" s="239"/>
      <c r="AD232" s="239"/>
      <c r="AE232" s="239"/>
      <c r="AF232" s="239"/>
      <c r="AG232" s="239"/>
      <c r="AH232" s="239"/>
      <c r="AI232" s="239"/>
      <c r="AJ232" s="239"/>
      <c r="AK232" s="239"/>
    </row>
    <row r="233" spans="1:37" ht="15.75" customHeight="1">
      <c r="A233" s="239"/>
      <c r="B233" s="239"/>
      <c r="C233" s="239"/>
      <c r="D233" s="240"/>
      <c r="E233" s="240"/>
      <c r="F233" s="240"/>
      <c r="G233" s="240"/>
      <c r="H233" s="240"/>
      <c r="I233" s="240"/>
      <c r="J233" s="239"/>
      <c r="K233" s="239"/>
      <c r="L233" s="239"/>
      <c r="M233" s="240"/>
      <c r="N233" s="240"/>
      <c r="O233" s="240"/>
      <c r="P233" s="240"/>
      <c r="Q233" s="240"/>
      <c r="R233" s="239"/>
      <c r="S233" s="239"/>
      <c r="T233" s="239"/>
      <c r="U233" s="239"/>
      <c r="V233" s="239"/>
      <c r="W233" s="239"/>
      <c r="X233" s="239"/>
      <c r="Y233" s="239"/>
      <c r="Z233" s="239"/>
      <c r="AA233" s="239"/>
      <c r="AB233" s="239"/>
      <c r="AC233" s="239"/>
      <c r="AD233" s="239"/>
      <c r="AE233" s="239"/>
      <c r="AF233" s="239"/>
      <c r="AG233" s="239"/>
      <c r="AH233" s="239"/>
      <c r="AI233" s="239"/>
      <c r="AJ233" s="239"/>
      <c r="AK233" s="239"/>
    </row>
    <row r="234" spans="1:37" ht="15.75" customHeight="1">
      <c r="A234" s="239"/>
      <c r="B234" s="239"/>
      <c r="C234" s="239"/>
      <c r="D234" s="240"/>
      <c r="E234" s="240"/>
      <c r="F234" s="240"/>
      <c r="G234" s="240"/>
      <c r="H234" s="240"/>
      <c r="I234" s="240"/>
      <c r="J234" s="239"/>
      <c r="K234" s="239"/>
      <c r="L234" s="239"/>
      <c r="M234" s="240"/>
      <c r="N234" s="240"/>
      <c r="O234" s="240"/>
      <c r="P234" s="240"/>
      <c r="Q234" s="240"/>
      <c r="R234" s="239"/>
      <c r="S234" s="239"/>
      <c r="T234" s="239"/>
      <c r="U234" s="239"/>
      <c r="V234" s="239"/>
      <c r="W234" s="239"/>
      <c r="X234" s="239"/>
      <c r="Y234" s="239"/>
      <c r="Z234" s="239"/>
      <c r="AA234" s="239"/>
      <c r="AB234" s="239"/>
      <c r="AC234" s="239"/>
      <c r="AD234" s="239"/>
      <c r="AE234" s="239"/>
      <c r="AF234" s="239"/>
      <c r="AG234" s="239"/>
      <c r="AH234" s="239"/>
      <c r="AI234" s="239"/>
      <c r="AJ234" s="239"/>
      <c r="AK234" s="239"/>
    </row>
    <row r="235" spans="1:37" ht="15.75" customHeight="1">
      <c r="A235" s="239"/>
      <c r="B235" s="239"/>
      <c r="C235" s="239"/>
      <c r="D235" s="240"/>
      <c r="E235" s="240"/>
      <c r="F235" s="240"/>
      <c r="G235" s="240"/>
      <c r="H235" s="240"/>
      <c r="I235" s="240"/>
      <c r="J235" s="239"/>
      <c r="K235" s="239"/>
      <c r="L235" s="239"/>
      <c r="M235" s="240"/>
      <c r="N235" s="240"/>
      <c r="O235" s="240"/>
      <c r="P235" s="240"/>
      <c r="Q235" s="240"/>
      <c r="R235" s="239"/>
      <c r="S235" s="239"/>
      <c r="T235" s="239"/>
      <c r="U235" s="239"/>
      <c r="V235" s="239"/>
      <c r="W235" s="239"/>
      <c r="X235" s="239"/>
      <c r="Y235" s="239"/>
      <c r="Z235" s="239"/>
      <c r="AA235" s="239"/>
      <c r="AB235" s="239"/>
      <c r="AC235" s="239"/>
      <c r="AD235" s="239"/>
      <c r="AE235" s="239"/>
      <c r="AF235" s="239"/>
      <c r="AG235" s="239"/>
      <c r="AH235" s="239"/>
      <c r="AI235" s="239"/>
      <c r="AJ235" s="239"/>
      <c r="AK235" s="239"/>
    </row>
    <row r="236" spans="1:37" ht="15.75" customHeight="1">
      <c r="A236" s="239"/>
      <c r="B236" s="239"/>
      <c r="C236" s="239"/>
      <c r="D236" s="240"/>
      <c r="E236" s="240"/>
      <c r="F236" s="240"/>
      <c r="G236" s="240"/>
      <c r="H236" s="240"/>
      <c r="I236" s="240"/>
      <c r="J236" s="239"/>
      <c r="K236" s="239"/>
      <c r="L236" s="239"/>
      <c r="M236" s="240"/>
      <c r="N236" s="240"/>
      <c r="O236" s="240"/>
      <c r="P236" s="240"/>
      <c r="Q236" s="240"/>
      <c r="R236" s="239"/>
      <c r="S236" s="239"/>
      <c r="T236" s="239"/>
      <c r="U236" s="239"/>
      <c r="V236" s="239"/>
      <c r="W236" s="239"/>
      <c r="X236" s="239"/>
      <c r="Y236" s="239"/>
      <c r="Z236" s="239"/>
      <c r="AA236" s="239"/>
      <c r="AB236" s="239"/>
      <c r="AC236" s="239"/>
      <c r="AD236" s="239"/>
      <c r="AE236" s="239"/>
      <c r="AF236" s="239"/>
      <c r="AG236" s="239"/>
      <c r="AH236" s="239"/>
      <c r="AI236" s="239"/>
      <c r="AJ236" s="239"/>
      <c r="AK236" s="239"/>
    </row>
    <row r="237" spans="1:37" ht="15.75" customHeight="1">
      <c r="A237" s="239"/>
      <c r="B237" s="239"/>
      <c r="C237" s="239"/>
      <c r="D237" s="240"/>
      <c r="E237" s="240"/>
      <c r="F237" s="240"/>
      <c r="G237" s="240"/>
      <c r="H237" s="240"/>
      <c r="I237" s="240"/>
      <c r="J237" s="239"/>
      <c r="K237" s="239"/>
      <c r="L237" s="239"/>
      <c r="M237" s="240"/>
      <c r="N237" s="240"/>
      <c r="O237" s="240"/>
      <c r="P237" s="240"/>
      <c r="Q237" s="240"/>
      <c r="R237" s="239"/>
      <c r="S237" s="239"/>
      <c r="T237" s="239"/>
      <c r="U237" s="239"/>
      <c r="V237" s="239"/>
      <c r="W237" s="239"/>
      <c r="X237" s="239"/>
      <c r="Y237" s="239"/>
      <c r="Z237" s="239"/>
      <c r="AA237" s="239"/>
      <c r="AB237" s="239"/>
      <c r="AC237" s="239"/>
      <c r="AD237" s="239"/>
      <c r="AE237" s="239"/>
      <c r="AF237" s="239"/>
      <c r="AG237" s="239"/>
      <c r="AH237" s="239"/>
      <c r="AI237" s="239"/>
      <c r="AJ237" s="239"/>
      <c r="AK237" s="239"/>
    </row>
    <row r="238" spans="1:37" ht="15.75" customHeight="1">
      <c r="A238" s="239"/>
      <c r="B238" s="239"/>
      <c r="C238" s="239"/>
      <c r="D238" s="240"/>
      <c r="E238" s="240"/>
      <c r="F238" s="240"/>
      <c r="G238" s="240"/>
      <c r="H238" s="240"/>
      <c r="I238" s="240"/>
      <c r="J238" s="239"/>
      <c r="K238" s="239"/>
      <c r="L238" s="239"/>
      <c r="M238" s="240"/>
      <c r="N238" s="240"/>
      <c r="O238" s="240"/>
      <c r="P238" s="240"/>
      <c r="Q238" s="240"/>
      <c r="R238" s="239"/>
      <c r="S238" s="239"/>
      <c r="T238" s="239"/>
      <c r="U238" s="239"/>
      <c r="V238" s="239"/>
      <c r="W238" s="239"/>
      <c r="X238" s="239"/>
      <c r="Y238" s="239"/>
      <c r="Z238" s="239"/>
      <c r="AA238" s="239"/>
      <c r="AB238" s="239"/>
      <c r="AC238" s="239"/>
      <c r="AD238" s="239"/>
      <c r="AE238" s="239"/>
      <c r="AF238" s="239"/>
      <c r="AG238" s="239"/>
      <c r="AH238" s="239"/>
      <c r="AI238" s="239"/>
      <c r="AJ238" s="239"/>
      <c r="AK238" s="239"/>
    </row>
    <row r="239" spans="1:37" ht="15.75" customHeight="1">
      <c r="A239" s="239"/>
      <c r="B239" s="239"/>
      <c r="C239" s="239"/>
      <c r="D239" s="240"/>
      <c r="E239" s="240"/>
      <c r="F239" s="240"/>
      <c r="G239" s="240"/>
      <c r="H239" s="240"/>
      <c r="I239" s="240"/>
      <c r="J239" s="239"/>
      <c r="K239" s="239"/>
      <c r="L239" s="239"/>
      <c r="M239" s="240"/>
      <c r="N239" s="240"/>
      <c r="O239" s="240"/>
      <c r="P239" s="240"/>
      <c r="Q239" s="240"/>
      <c r="R239" s="239"/>
      <c r="S239" s="239"/>
      <c r="T239" s="239"/>
      <c r="U239" s="239"/>
      <c r="V239" s="239"/>
      <c r="W239" s="239"/>
      <c r="X239" s="239"/>
      <c r="Y239" s="239"/>
      <c r="Z239" s="239"/>
      <c r="AA239" s="239"/>
      <c r="AB239" s="239"/>
      <c r="AC239" s="239"/>
      <c r="AD239" s="239"/>
      <c r="AE239" s="239"/>
      <c r="AF239" s="239"/>
      <c r="AG239" s="239"/>
      <c r="AH239" s="239"/>
      <c r="AI239" s="239"/>
      <c r="AJ239" s="239"/>
      <c r="AK239" s="239"/>
    </row>
    <row r="240" spans="1:37" ht="15.75" customHeight="1">
      <c r="A240" s="239"/>
      <c r="B240" s="239"/>
      <c r="C240" s="239"/>
      <c r="D240" s="240"/>
      <c r="E240" s="240"/>
      <c r="F240" s="240"/>
      <c r="G240" s="240"/>
      <c r="H240" s="240"/>
      <c r="I240" s="240"/>
      <c r="J240" s="239"/>
      <c r="K240" s="239"/>
      <c r="L240" s="239"/>
      <c r="M240" s="240"/>
      <c r="N240" s="240"/>
      <c r="O240" s="240"/>
      <c r="P240" s="240"/>
      <c r="Q240" s="240"/>
      <c r="R240" s="239"/>
      <c r="S240" s="239"/>
      <c r="T240" s="239"/>
      <c r="U240" s="239"/>
      <c r="V240" s="239"/>
      <c r="W240" s="239"/>
      <c r="X240" s="239"/>
      <c r="Y240" s="239"/>
      <c r="Z240" s="239"/>
      <c r="AA240" s="239"/>
      <c r="AB240" s="239"/>
      <c r="AC240" s="239"/>
      <c r="AD240" s="239"/>
      <c r="AE240" s="239"/>
      <c r="AF240" s="239"/>
      <c r="AG240" s="239"/>
      <c r="AH240" s="239"/>
      <c r="AI240" s="239"/>
      <c r="AJ240" s="239"/>
      <c r="AK240" s="239"/>
    </row>
    <row r="241" spans="1:37" ht="15.75" customHeight="1">
      <c r="A241" s="239"/>
      <c r="B241" s="239"/>
      <c r="C241" s="239"/>
      <c r="D241" s="240"/>
      <c r="E241" s="240"/>
      <c r="F241" s="240"/>
      <c r="G241" s="240"/>
      <c r="H241" s="240"/>
      <c r="I241" s="240"/>
      <c r="J241" s="239"/>
      <c r="K241" s="239"/>
      <c r="L241" s="239"/>
      <c r="M241" s="240"/>
      <c r="N241" s="240"/>
      <c r="O241" s="240"/>
      <c r="P241" s="240"/>
      <c r="Q241" s="240"/>
      <c r="R241" s="239"/>
      <c r="S241" s="239"/>
      <c r="T241" s="239"/>
      <c r="U241" s="239"/>
      <c r="V241" s="239"/>
      <c r="W241" s="239"/>
      <c r="X241" s="239"/>
      <c r="Y241" s="239"/>
      <c r="Z241" s="239"/>
      <c r="AA241" s="239"/>
      <c r="AB241" s="239"/>
      <c r="AC241" s="239"/>
      <c r="AD241" s="239"/>
      <c r="AE241" s="239"/>
      <c r="AF241" s="239"/>
      <c r="AG241" s="239"/>
      <c r="AH241" s="239"/>
      <c r="AI241" s="239"/>
      <c r="AJ241" s="239"/>
      <c r="AK241" s="239"/>
    </row>
    <row r="242" spans="1:37" ht="15.75" customHeight="1">
      <c r="A242" s="239"/>
      <c r="B242" s="239"/>
      <c r="C242" s="239"/>
      <c r="D242" s="240"/>
      <c r="E242" s="240"/>
      <c r="F242" s="240"/>
      <c r="G242" s="240"/>
      <c r="H242" s="240"/>
      <c r="I242" s="240"/>
      <c r="J242" s="239"/>
      <c r="K242" s="239"/>
      <c r="L242" s="239"/>
      <c r="M242" s="240"/>
      <c r="N242" s="240"/>
      <c r="O242" s="240"/>
      <c r="P242" s="240"/>
      <c r="Q242" s="240"/>
      <c r="R242" s="239"/>
      <c r="S242" s="239"/>
      <c r="T242" s="239"/>
      <c r="U242" s="239"/>
      <c r="V242" s="239"/>
      <c r="W242" s="239"/>
      <c r="X242" s="239"/>
      <c r="Y242" s="239"/>
      <c r="Z242" s="239"/>
      <c r="AA242" s="239"/>
      <c r="AB242" s="239"/>
      <c r="AC242" s="239"/>
      <c r="AD242" s="239"/>
      <c r="AE242" s="239"/>
      <c r="AF242" s="239"/>
      <c r="AG242" s="239"/>
      <c r="AH242" s="239"/>
      <c r="AI242" s="239"/>
      <c r="AJ242" s="239"/>
      <c r="AK242" s="239"/>
    </row>
    <row r="243" spans="1:37" ht="15.75" customHeight="1">
      <c r="A243" s="239"/>
      <c r="B243" s="239"/>
      <c r="C243" s="239"/>
      <c r="D243" s="240"/>
      <c r="E243" s="240"/>
      <c r="F243" s="240"/>
      <c r="G243" s="240"/>
      <c r="H243" s="240"/>
      <c r="I243" s="240"/>
      <c r="J243" s="239"/>
      <c r="K243" s="239"/>
      <c r="L243" s="239"/>
      <c r="M243" s="240"/>
      <c r="N243" s="240"/>
      <c r="O243" s="240"/>
      <c r="P243" s="240"/>
      <c r="Q243" s="240"/>
      <c r="R243" s="239"/>
      <c r="S243" s="239"/>
      <c r="T243" s="239"/>
      <c r="U243" s="239"/>
      <c r="V243" s="239"/>
      <c r="W243" s="239"/>
      <c r="X243" s="239"/>
      <c r="Y243" s="239"/>
      <c r="Z243" s="239"/>
      <c r="AA243" s="239"/>
      <c r="AB243" s="239"/>
      <c r="AC243" s="239"/>
      <c r="AD243" s="239"/>
      <c r="AE243" s="239"/>
      <c r="AF243" s="239"/>
      <c r="AG243" s="239"/>
      <c r="AH243" s="239"/>
      <c r="AI243" s="239"/>
      <c r="AJ243" s="239"/>
      <c r="AK243" s="239"/>
    </row>
    <row r="244" spans="1:37" ht="15.75" customHeight="1">
      <c r="A244" s="239"/>
      <c r="B244" s="239"/>
      <c r="C244" s="239"/>
      <c r="D244" s="240"/>
      <c r="E244" s="240"/>
      <c r="F244" s="240"/>
      <c r="G244" s="240"/>
      <c r="H244" s="240"/>
      <c r="I244" s="240"/>
      <c r="J244" s="239"/>
      <c r="K244" s="239"/>
      <c r="L244" s="239"/>
      <c r="M244" s="240"/>
      <c r="N244" s="240"/>
      <c r="O244" s="240"/>
      <c r="P244" s="240"/>
      <c r="Q244" s="240"/>
      <c r="R244" s="239"/>
      <c r="S244" s="239"/>
      <c r="T244" s="239"/>
      <c r="U244" s="239"/>
      <c r="V244" s="239"/>
      <c r="W244" s="239"/>
      <c r="X244" s="239"/>
      <c r="Y244" s="239"/>
      <c r="Z244" s="239"/>
      <c r="AA244" s="239"/>
      <c r="AB244" s="239"/>
      <c r="AC244" s="239"/>
      <c r="AD244" s="239"/>
      <c r="AE244" s="239"/>
      <c r="AF244" s="239"/>
      <c r="AG244" s="239"/>
      <c r="AH244" s="239"/>
      <c r="AI244" s="239"/>
      <c r="AJ244" s="239"/>
      <c r="AK244" s="239"/>
    </row>
    <row r="245" spans="1:37" ht="15.75" customHeight="1">
      <c r="A245" s="239"/>
      <c r="B245" s="239"/>
      <c r="C245" s="239"/>
      <c r="D245" s="240"/>
      <c r="E245" s="240"/>
      <c r="F245" s="240"/>
      <c r="G245" s="240"/>
      <c r="H245" s="240"/>
      <c r="I245" s="240"/>
      <c r="J245" s="239"/>
      <c r="K245" s="239"/>
      <c r="L245" s="239"/>
      <c r="M245" s="240"/>
      <c r="N245" s="240"/>
      <c r="O245" s="240"/>
      <c r="P245" s="240"/>
      <c r="Q245" s="240"/>
      <c r="R245" s="239"/>
      <c r="S245" s="239"/>
      <c r="T245" s="239"/>
      <c r="U245" s="239"/>
      <c r="V245" s="239"/>
      <c r="W245" s="239"/>
      <c r="X245" s="239"/>
      <c r="Y245" s="239"/>
      <c r="Z245" s="239"/>
      <c r="AA245" s="239"/>
      <c r="AB245" s="239"/>
      <c r="AC245" s="239"/>
      <c r="AD245" s="239"/>
      <c r="AE245" s="239"/>
      <c r="AF245" s="239"/>
      <c r="AG245" s="239"/>
      <c r="AH245" s="239"/>
      <c r="AI245" s="239"/>
      <c r="AJ245" s="239"/>
      <c r="AK245" s="239"/>
    </row>
    <row r="246" spans="1:37" ht="15.75" customHeight="1">
      <c r="A246" s="239"/>
      <c r="B246" s="239"/>
      <c r="C246" s="239"/>
      <c r="D246" s="240"/>
      <c r="E246" s="240"/>
      <c r="F246" s="240"/>
      <c r="G246" s="240"/>
      <c r="H246" s="240"/>
      <c r="I246" s="240"/>
      <c r="J246" s="239"/>
      <c r="K246" s="239"/>
      <c r="L246" s="239"/>
      <c r="M246" s="240"/>
      <c r="N246" s="240"/>
      <c r="O246" s="240"/>
      <c r="P246" s="240"/>
      <c r="Q246" s="240"/>
      <c r="R246" s="239"/>
      <c r="S246" s="239"/>
      <c r="T246" s="239"/>
      <c r="U246" s="239"/>
      <c r="V246" s="239"/>
      <c r="W246" s="239"/>
      <c r="X246" s="239"/>
      <c r="Y246" s="239"/>
      <c r="Z246" s="239"/>
      <c r="AA246" s="239"/>
      <c r="AB246" s="239"/>
      <c r="AC246" s="239"/>
      <c r="AD246" s="239"/>
      <c r="AE246" s="239"/>
      <c r="AF246" s="239"/>
      <c r="AG246" s="239"/>
      <c r="AH246" s="239"/>
      <c r="AI246" s="239"/>
      <c r="AJ246" s="239"/>
      <c r="AK246" s="239"/>
    </row>
    <row r="247" spans="1:37" ht="15.75" customHeight="1">
      <c r="A247" s="239"/>
      <c r="B247" s="239"/>
      <c r="C247" s="239"/>
      <c r="D247" s="240"/>
      <c r="E247" s="240"/>
      <c r="F247" s="240"/>
      <c r="G247" s="240"/>
      <c r="H247" s="240"/>
      <c r="I247" s="240"/>
      <c r="J247" s="239"/>
      <c r="K247" s="239"/>
      <c r="L247" s="239"/>
      <c r="M247" s="240"/>
      <c r="N247" s="240"/>
      <c r="O247" s="240"/>
      <c r="P247" s="240"/>
      <c r="Q247" s="240"/>
      <c r="R247" s="239"/>
      <c r="S247" s="239"/>
      <c r="T247" s="239"/>
      <c r="U247" s="239"/>
      <c r="V247" s="239"/>
      <c r="W247" s="239"/>
      <c r="X247" s="239"/>
      <c r="Y247" s="239"/>
      <c r="Z247" s="239"/>
      <c r="AA247" s="239"/>
      <c r="AB247" s="239"/>
      <c r="AC247" s="239"/>
      <c r="AD247" s="239"/>
      <c r="AE247" s="239"/>
      <c r="AF247" s="239"/>
      <c r="AG247" s="239"/>
      <c r="AH247" s="239"/>
      <c r="AI247" s="239"/>
      <c r="AJ247" s="239"/>
      <c r="AK247" s="239"/>
    </row>
    <row r="248" spans="1:37" ht="15.75" customHeight="1">
      <c r="A248" s="239"/>
      <c r="B248" s="239"/>
      <c r="C248" s="239"/>
      <c r="D248" s="240"/>
      <c r="E248" s="240"/>
      <c r="F248" s="240"/>
      <c r="G248" s="240"/>
      <c r="H248" s="240"/>
      <c r="I248" s="240"/>
      <c r="J248" s="239"/>
      <c r="K248" s="239"/>
      <c r="L248" s="239"/>
      <c r="M248" s="240"/>
      <c r="N248" s="240"/>
      <c r="O248" s="240"/>
      <c r="P248" s="240"/>
      <c r="Q248" s="240"/>
      <c r="R248" s="239"/>
      <c r="S248" s="239"/>
      <c r="T248" s="239"/>
      <c r="U248" s="239"/>
      <c r="V248" s="239"/>
      <c r="W248" s="239"/>
      <c r="X248" s="239"/>
      <c r="Y248" s="239"/>
      <c r="Z248" s="239"/>
      <c r="AA248" s="239"/>
      <c r="AB248" s="239"/>
      <c r="AC248" s="239"/>
      <c r="AD248" s="239"/>
      <c r="AE248" s="239"/>
      <c r="AF248" s="239"/>
      <c r="AG248" s="239"/>
      <c r="AH248" s="239"/>
      <c r="AI248" s="239"/>
      <c r="AJ248" s="239"/>
      <c r="AK248" s="239"/>
    </row>
    <row r="249" spans="1:37" ht="15.75" customHeight="1">
      <c r="A249" s="239"/>
      <c r="B249" s="239"/>
      <c r="C249" s="239"/>
      <c r="D249" s="240"/>
      <c r="E249" s="240"/>
      <c r="F249" s="240"/>
      <c r="G249" s="240"/>
      <c r="H249" s="240"/>
      <c r="I249" s="240"/>
      <c r="J249" s="239"/>
      <c r="K249" s="239"/>
      <c r="L249" s="239"/>
      <c r="M249" s="240"/>
      <c r="N249" s="240"/>
      <c r="O249" s="240"/>
      <c r="P249" s="240"/>
      <c r="Q249" s="240"/>
      <c r="R249" s="239"/>
      <c r="S249" s="239"/>
      <c r="T249" s="239"/>
      <c r="U249" s="239"/>
      <c r="V249" s="239"/>
      <c r="W249" s="239"/>
      <c r="X249" s="239"/>
      <c r="Y249" s="239"/>
      <c r="Z249" s="239"/>
      <c r="AA249" s="239"/>
      <c r="AB249" s="239"/>
      <c r="AC249" s="239"/>
      <c r="AD249" s="239"/>
      <c r="AE249" s="239"/>
      <c r="AF249" s="239"/>
      <c r="AG249" s="239"/>
      <c r="AH249" s="239"/>
      <c r="AI249" s="239"/>
      <c r="AJ249" s="239"/>
      <c r="AK249" s="239"/>
    </row>
    <row r="250" spans="1:37" ht="15.75" customHeight="1">
      <c r="A250" s="239"/>
      <c r="B250" s="239"/>
      <c r="C250" s="239"/>
      <c r="D250" s="240"/>
      <c r="E250" s="240"/>
      <c r="F250" s="240"/>
      <c r="G250" s="240"/>
      <c r="H250" s="240"/>
      <c r="I250" s="240"/>
      <c r="J250" s="239"/>
      <c r="K250" s="239"/>
      <c r="L250" s="239"/>
      <c r="M250" s="240"/>
      <c r="N250" s="240"/>
      <c r="O250" s="240"/>
      <c r="P250" s="240"/>
      <c r="Q250" s="240"/>
      <c r="R250" s="239"/>
      <c r="S250" s="239"/>
      <c r="T250" s="239"/>
      <c r="U250" s="239"/>
      <c r="V250" s="239"/>
      <c r="W250" s="239"/>
      <c r="X250" s="239"/>
      <c r="Y250" s="239"/>
      <c r="Z250" s="239"/>
      <c r="AA250" s="239"/>
      <c r="AB250" s="239"/>
      <c r="AC250" s="239"/>
      <c r="AD250" s="239"/>
      <c r="AE250" s="239"/>
      <c r="AF250" s="239"/>
      <c r="AG250" s="239"/>
      <c r="AH250" s="239"/>
      <c r="AI250" s="239"/>
      <c r="AJ250" s="239"/>
      <c r="AK250" s="239"/>
    </row>
    <row r="251" spans="1:37" ht="15.75" customHeight="1">
      <c r="A251" s="239"/>
      <c r="B251" s="239"/>
      <c r="C251" s="239"/>
      <c r="D251" s="240"/>
      <c r="E251" s="240"/>
      <c r="F251" s="240"/>
      <c r="G251" s="240"/>
      <c r="H251" s="240"/>
      <c r="I251" s="240"/>
      <c r="J251" s="239"/>
      <c r="K251" s="239"/>
      <c r="L251" s="239"/>
      <c r="M251" s="240"/>
      <c r="N251" s="240"/>
      <c r="O251" s="240"/>
      <c r="P251" s="240"/>
      <c r="Q251" s="240"/>
      <c r="R251" s="239"/>
      <c r="S251" s="239"/>
      <c r="T251" s="239"/>
      <c r="U251" s="239"/>
      <c r="V251" s="239"/>
      <c r="W251" s="239"/>
      <c r="X251" s="239"/>
      <c r="Y251" s="239"/>
      <c r="Z251" s="239"/>
      <c r="AA251" s="239"/>
      <c r="AB251" s="239"/>
      <c r="AC251" s="239"/>
      <c r="AD251" s="239"/>
      <c r="AE251" s="239"/>
      <c r="AF251" s="239"/>
      <c r="AG251" s="239"/>
      <c r="AH251" s="239"/>
      <c r="AI251" s="239"/>
      <c r="AJ251" s="239"/>
      <c r="AK251" s="239"/>
    </row>
    <row r="252" spans="1:37" ht="15.75" customHeight="1">
      <c r="A252" s="239"/>
      <c r="B252" s="239"/>
      <c r="C252" s="239"/>
      <c r="D252" s="240"/>
      <c r="E252" s="240"/>
      <c r="F252" s="240"/>
      <c r="G252" s="240"/>
      <c r="H252" s="240"/>
      <c r="I252" s="240"/>
      <c r="J252" s="239"/>
      <c r="K252" s="239"/>
      <c r="L252" s="239"/>
      <c r="M252" s="240"/>
      <c r="N252" s="240"/>
      <c r="O252" s="240"/>
      <c r="P252" s="240"/>
      <c r="Q252" s="240"/>
      <c r="R252" s="239"/>
      <c r="S252" s="239"/>
      <c r="T252" s="239"/>
      <c r="U252" s="239"/>
      <c r="V252" s="239"/>
      <c r="W252" s="239"/>
      <c r="X252" s="239"/>
      <c r="Y252" s="239"/>
      <c r="Z252" s="239"/>
      <c r="AA252" s="239"/>
      <c r="AB252" s="239"/>
      <c r="AC252" s="239"/>
      <c r="AD252" s="239"/>
      <c r="AE252" s="239"/>
      <c r="AF252" s="239"/>
      <c r="AG252" s="239"/>
      <c r="AH252" s="239"/>
      <c r="AI252" s="239"/>
      <c r="AJ252" s="239"/>
      <c r="AK252" s="239"/>
    </row>
    <row r="253" spans="1:37" ht="15.75" customHeight="1">
      <c r="A253" s="239"/>
      <c r="B253" s="239"/>
      <c r="C253" s="239"/>
      <c r="D253" s="240"/>
      <c r="E253" s="240"/>
      <c r="F253" s="240"/>
      <c r="G253" s="240"/>
      <c r="H253" s="240"/>
      <c r="I253" s="240"/>
      <c r="J253" s="239"/>
      <c r="K253" s="239"/>
      <c r="L253" s="239"/>
      <c r="M253" s="240"/>
      <c r="N253" s="240"/>
      <c r="O253" s="240"/>
      <c r="P253" s="240"/>
      <c r="Q253" s="240"/>
      <c r="R253" s="239"/>
      <c r="S253" s="239"/>
      <c r="T253" s="239"/>
      <c r="U253" s="239"/>
      <c r="V253" s="239"/>
      <c r="W253" s="239"/>
      <c r="X253" s="239"/>
      <c r="Y253" s="239"/>
      <c r="Z253" s="239"/>
      <c r="AA253" s="239"/>
      <c r="AB253" s="239"/>
      <c r="AC253" s="239"/>
      <c r="AD253" s="239"/>
      <c r="AE253" s="239"/>
      <c r="AF253" s="239"/>
      <c r="AG253" s="239"/>
      <c r="AH253" s="239"/>
      <c r="AI253" s="239"/>
      <c r="AJ253" s="239"/>
      <c r="AK253" s="239"/>
    </row>
    <row r="254" spans="1:37" ht="15.75" customHeight="1">
      <c r="A254" s="239"/>
      <c r="B254" s="239"/>
      <c r="C254" s="239"/>
      <c r="D254" s="240"/>
      <c r="E254" s="240"/>
      <c r="F254" s="240"/>
      <c r="G254" s="240"/>
      <c r="H254" s="240"/>
      <c r="I254" s="240"/>
      <c r="J254" s="239"/>
      <c r="K254" s="239"/>
      <c r="L254" s="239"/>
      <c r="M254" s="240"/>
      <c r="N254" s="240"/>
      <c r="O254" s="240"/>
      <c r="P254" s="240"/>
      <c r="Q254" s="240"/>
      <c r="R254" s="239"/>
      <c r="S254" s="239"/>
      <c r="T254" s="239"/>
      <c r="U254" s="239"/>
      <c r="V254" s="239"/>
      <c r="W254" s="239"/>
      <c r="X254" s="239"/>
      <c r="Y254" s="239"/>
      <c r="Z254" s="239"/>
      <c r="AA254" s="239"/>
      <c r="AB254" s="239"/>
      <c r="AC254" s="239"/>
      <c r="AD254" s="239"/>
      <c r="AE254" s="239"/>
      <c r="AF254" s="239"/>
      <c r="AG254" s="239"/>
      <c r="AH254" s="239"/>
      <c r="AI254" s="239"/>
      <c r="AJ254" s="239"/>
      <c r="AK254" s="239"/>
    </row>
    <row r="255" spans="1:37" ht="15.75" customHeight="1">
      <c r="A255" s="239"/>
      <c r="B255" s="239"/>
      <c r="C255" s="239"/>
      <c r="D255" s="240"/>
      <c r="E255" s="240"/>
      <c r="F255" s="240"/>
      <c r="G255" s="240"/>
      <c r="H255" s="240"/>
      <c r="I255" s="240"/>
      <c r="J255" s="239"/>
      <c r="K255" s="239"/>
      <c r="L255" s="239"/>
      <c r="M255" s="240"/>
      <c r="N255" s="240"/>
      <c r="O255" s="240"/>
      <c r="P255" s="240"/>
      <c r="Q255" s="240"/>
      <c r="R255" s="239"/>
      <c r="S255" s="239"/>
      <c r="T255" s="239"/>
      <c r="U255" s="239"/>
      <c r="V255" s="239"/>
      <c r="W255" s="239"/>
      <c r="X255" s="239"/>
      <c r="Y255" s="239"/>
      <c r="Z255" s="239"/>
      <c r="AA255" s="239"/>
      <c r="AB255" s="239"/>
      <c r="AC255" s="239"/>
      <c r="AD255" s="239"/>
      <c r="AE255" s="239"/>
      <c r="AF255" s="239"/>
      <c r="AG255" s="239"/>
      <c r="AH255" s="239"/>
      <c r="AI255" s="239"/>
      <c r="AJ255" s="239"/>
      <c r="AK255" s="239"/>
    </row>
    <row r="256" spans="1:37" ht="15.75" customHeight="1">
      <c r="A256" s="239"/>
      <c r="B256" s="239"/>
      <c r="C256" s="239"/>
      <c r="D256" s="240"/>
      <c r="E256" s="240"/>
      <c r="F256" s="240"/>
      <c r="G256" s="240"/>
      <c r="H256" s="240"/>
      <c r="I256" s="240"/>
      <c r="J256" s="239"/>
      <c r="K256" s="239"/>
      <c r="L256" s="239"/>
      <c r="M256" s="240"/>
      <c r="N256" s="240"/>
      <c r="O256" s="240"/>
      <c r="P256" s="240"/>
      <c r="Q256" s="240"/>
      <c r="R256" s="239"/>
      <c r="S256" s="239"/>
      <c r="T256" s="239"/>
      <c r="U256" s="239"/>
      <c r="V256" s="239"/>
      <c r="W256" s="239"/>
      <c r="X256" s="239"/>
      <c r="Y256" s="239"/>
      <c r="Z256" s="239"/>
      <c r="AA256" s="239"/>
      <c r="AB256" s="239"/>
      <c r="AC256" s="239"/>
      <c r="AD256" s="239"/>
      <c r="AE256" s="239"/>
      <c r="AF256" s="239"/>
      <c r="AG256" s="239"/>
      <c r="AH256" s="239"/>
      <c r="AI256" s="239"/>
      <c r="AJ256" s="239"/>
      <c r="AK256" s="239"/>
    </row>
    <row r="257" spans="1:37" ht="15.75" customHeight="1">
      <c r="A257" s="239"/>
      <c r="B257" s="239"/>
      <c r="C257" s="239"/>
      <c r="D257" s="240"/>
      <c r="E257" s="240"/>
      <c r="F257" s="240"/>
      <c r="G257" s="240"/>
      <c r="H257" s="240"/>
      <c r="I257" s="240"/>
      <c r="J257" s="239"/>
      <c r="K257" s="239"/>
      <c r="L257" s="239"/>
      <c r="M257" s="240"/>
      <c r="N257" s="240"/>
      <c r="O257" s="240"/>
      <c r="P257" s="240"/>
      <c r="Q257" s="240"/>
      <c r="R257" s="239"/>
      <c r="S257" s="239"/>
      <c r="T257" s="239"/>
      <c r="U257" s="239"/>
      <c r="V257" s="239"/>
      <c r="W257" s="239"/>
      <c r="X257" s="239"/>
      <c r="Y257" s="239"/>
      <c r="Z257" s="239"/>
      <c r="AA257" s="239"/>
      <c r="AB257" s="239"/>
      <c r="AC257" s="239"/>
      <c r="AD257" s="239"/>
      <c r="AE257" s="239"/>
      <c r="AF257" s="239"/>
      <c r="AG257" s="239"/>
      <c r="AH257" s="239"/>
      <c r="AI257" s="239"/>
      <c r="AJ257" s="239"/>
      <c r="AK257" s="239"/>
    </row>
    <row r="258" spans="1:37" ht="15.75" customHeight="1"/>
    <row r="259" spans="1:37" ht="15.75" customHeight="1"/>
    <row r="260" spans="1:37" ht="15.75" customHeight="1"/>
    <row r="261" spans="1:37" ht="15.75" customHeight="1"/>
    <row r="262" spans="1:37" ht="15.75" customHeight="1"/>
    <row r="263" spans="1:37" ht="15.75" customHeight="1"/>
    <row r="264" spans="1:37" ht="15.75" customHeight="1"/>
    <row r="265" spans="1:37" ht="15.75" customHeight="1"/>
    <row r="266" spans="1:37" ht="15.75" customHeight="1"/>
    <row r="267" spans="1:37" ht="15.75" customHeight="1"/>
    <row r="268" spans="1:37" ht="15.75" customHeight="1"/>
    <row r="269" spans="1:37" ht="15.75" customHeight="1"/>
    <row r="270" spans="1:37" ht="15.75" customHeight="1"/>
    <row r="271" spans="1:37" ht="15.75" customHeight="1"/>
    <row r="272" spans="1:37"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sheetProtection algorithmName="SHA-512" hashValue="4dHEdgM+xsKA5Patjzc8IXY74uqOqAuOQYx/btFrxNCE0Q6wCTnEsNR2HAy57/+soBqBmXcThSdGaNDtYb/SWA==" saltValue="PYf0tFVjSe8li2WkcZdPsw==" spinCount="100000" sheet="1" objects="1" scenarios="1"/>
  <mergeCells count="45">
    <mergeCell ref="F51:G51"/>
    <mergeCell ref="F52:G52"/>
    <mergeCell ref="F53:G53"/>
    <mergeCell ref="F12:G12"/>
    <mergeCell ref="F11:G11"/>
    <mergeCell ref="F44:G44"/>
    <mergeCell ref="F35:G35"/>
    <mergeCell ref="F6:G6"/>
    <mergeCell ref="F1:G1"/>
    <mergeCell ref="F23:G23"/>
    <mergeCell ref="F22:G22"/>
    <mergeCell ref="F20:G20"/>
    <mergeCell ref="F7:G7"/>
    <mergeCell ref="F8:G8"/>
    <mergeCell ref="F9:G9"/>
    <mergeCell ref="F10:G10"/>
    <mergeCell ref="A45:B45"/>
    <mergeCell ref="A50:B50"/>
    <mergeCell ref="F48:G48"/>
    <mergeCell ref="F49:G49"/>
    <mergeCell ref="F47:G47"/>
    <mergeCell ref="F46:G46"/>
    <mergeCell ref="A16:B16"/>
    <mergeCell ref="F18:G18"/>
    <mergeCell ref="F19:G19"/>
    <mergeCell ref="A13:B13"/>
    <mergeCell ref="A21:B21"/>
    <mergeCell ref="F15:G15"/>
    <mergeCell ref="F14:G14"/>
    <mergeCell ref="A24:B24"/>
    <mergeCell ref="A29:B29"/>
    <mergeCell ref="F36:G36"/>
    <mergeCell ref="F34:G34"/>
    <mergeCell ref="F43:G43"/>
    <mergeCell ref="A37:B37"/>
    <mergeCell ref="F42:G42"/>
    <mergeCell ref="F38:G38"/>
    <mergeCell ref="F39:G39"/>
    <mergeCell ref="F40:G40"/>
    <mergeCell ref="F41:G41"/>
    <mergeCell ref="F33:G33"/>
    <mergeCell ref="F28:G28"/>
    <mergeCell ref="F30:G30"/>
    <mergeCell ref="F31:G31"/>
    <mergeCell ref="F32:G32"/>
  </mergeCells>
  <conditionalFormatting sqref="F7:G7">
    <cfRule type="colorScale" priority="5">
      <colorScale>
        <cfvo type="num" val="1"/>
        <cfvo type="num" val="4"/>
        <cfvo type="num" val="8"/>
        <color rgb="FFD0E0E3"/>
        <color rgb="FF76A5AF"/>
        <color rgb="FF134F5C"/>
      </colorScale>
    </cfRule>
  </conditionalFormatting>
  <conditionalFormatting sqref="E7 H7">
    <cfRule type="colorScale" priority="6">
      <colorScale>
        <cfvo type="min"/>
        <cfvo type="percent" val="50"/>
        <cfvo type="max"/>
        <color rgb="FFD0E0E3"/>
        <color rgb="FF76A5AF"/>
        <color rgb="FF134F5C"/>
      </colorScale>
    </cfRule>
  </conditionalFormatting>
  <conditionalFormatting sqref="E8:H8">
    <cfRule type="colorScale" priority="7">
      <colorScale>
        <cfvo type="min"/>
        <cfvo type="percent" val="50"/>
        <cfvo type="max"/>
        <color rgb="FFD0E0E3"/>
        <color rgb="FF76A5AF"/>
        <color rgb="FF134F5C"/>
      </colorScale>
    </cfRule>
  </conditionalFormatting>
  <conditionalFormatting sqref="E9:H9">
    <cfRule type="colorScale" priority="8">
      <colorScale>
        <cfvo type="min"/>
        <cfvo type="percent" val="50"/>
        <cfvo type="max"/>
        <color rgb="FFD0E0E3"/>
        <color rgb="FF76A5AF"/>
        <color rgb="FF134F5C"/>
      </colorScale>
    </cfRule>
  </conditionalFormatting>
  <conditionalFormatting sqref="E10:H10">
    <cfRule type="colorScale" priority="9">
      <colorScale>
        <cfvo type="formula" val="-1"/>
        <cfvo type="percent" val="50"/>
        <cfvo type="formula" val="1"/>
        <color rgb="FFD0E0E3"/>
        <color rgb="FF76A5AF"/>
        <color rgb="FF134F5C"/>
      </colorScale>
    </cfRule>
  </conditionalFormatting>
  <conditionalFormatting sqref="E11:H11">
    <cfRule type="colorScale" priority="10">
      <colorScale>
        <cfvo type="formula" val="0"/>
        <cfvo type="percent" val="50"/>
        <cfvo type="formula" val="0.5"/>
        <color rgb="FFD0E0E3"/>
        <color rgb="FF76A5AF"/>
        <color rgb="FF134F5C"/>
      </colorScale>
    </cfRule>
  </conditionalFormatting>
  <conditionalFormatting sqref="E12:H12">
    <cfRule type="colorScale" priority="11">
      <colorScale>
        <cfvo type="formula" val="0"/>
        <cfvo type="percentile" val="50"/>
        <cfvo type="formula" val="0.05"/>
        <color rgb="FFD0E0E3"/>
        <color rgb="FF76A5AF"/>
        <color rgb="FF134F5C"/>
      </colorScale>
    </cfRule>
  </conditionalFormatting>
  <conditionalFormatting sqref="E14:H14">
    <cfRule type="colorScale" priority="12">
      <colorScale>
        <cfvo type="percent" val="0"/>
        <cfvo type="percent" val="50"/>
        <cfvo type="percent" val="100"/>
        <color rgb="FFD0E0E3"/>
        <color rgb="FF7298A0"/>
        <color rgb="FF134F5C"/>
      </colorScale>
    </cfRule>
  </conditionalFormatting>
  <conditionalFormatting sqref="E15:H15">
    <cfRule type="colorScale" priority="13">
      <colorScale>
        <cfvo type="percent" val="0"/>
        <cfvo type="percent" val="50"/>
        <cfvo type="percent" val="100"/>
        <color rgb="FFD0E0E3"/>
        <color rgb="FF76A5AF"/>
        <color rgb="FF134F5C"/>
      </colorScale>
    </cfRule>
  </conditionalFormatting>
  <conditionalFormatting sqref="E20:H20 E62:H62">
    <cfRule type="colorScale" priority="14">
      <colorScale>
        <cfvo type="min"/>
        <cfvo type="max"/>
        <color rgb="FFD0E0E3"/>
        <color rgb="FF134F5C"/>
      </colorScale>
    </cfRule>
  </conditionalFormatting>
  <conditionalFormatting sqref="E19:H19">
    <cfRule type="colorScale" priority="15">
      <colorScale>
        <cfvo type="percent" val="0"/>
        <cfvo type="percent" val="50"/>
        <cfvo type="percent" val="100"/>
        <color rgb="FFD0E0E3"/>
        <color rgb="FF76A5AF"/>
        <color rgb="FF134F5C"/>
      </colorScale>
    </cfRule>
  </conditionalFormatting>
  <conditionalFormatting sqref="E17:H17">
    <cfRule type="colorScale" priority="16">
      <colorScale>
        <cfvo type="percent" val="0"/>
        <cfvo type="percent" val="50"/>
        <cfvo type="percent" val="100"/>
        <color rgb="FFD0E0E3"/>
        <color rgb="FF7298A0"/>
        <color rgb="FF134F5C"/>
      </colorScale>
    </cfRule>
  </conditionalFormatting>
  <conditionalFormatting sqref="E25:F25 H25">
    <cfRule type="colorScale" priority="17">
      <colorScale>
        <cfvo type="min"/>
        <cfvo type="percent" val="50"/>
        <cfvo type="max"/>
        <color rgb="FFD0E0E3"/>
        <color rgb="FF76A5AF"/>
        <color rgb="FF134F5C"/>
      </colorScale>
    </cfRule>
  </conditionalFormatting>
  <conditionalFormatting sqref="E26:F26 H26">
    <cfRule type="colorScale" priority="18">
      <colorScale>
        <cfvo type="percent" val="0"/>
        <cfvo type="percent" val="50"/>
        <cfvo type="percent" val="100"/>
        <color rgb="FFD0E0E3"/>
        <color rgb="FF76A5AF"/>
        <color rgb="FF134F5C"/>
      </colorScale>
    </cfRule>
  </conditionalFormatting>
  <conditionalFormatting sqref="G25:G27 E27:F27 H27">
    <cfRule type="colorScale" priority="19">
      <colorScale>
        <cfvo type="percent" val="0"/>
        <cfvo type="percent" val="50"/>
        <cfvo type="percent" val="100"/>
        <color rgb="FFD0E0E3"/>
        <color rgb="FF7298A0"/>
        <color rgb="FF134F5C"/>
      </colorScale>
    </cfRule>
  </conditionalFormatting>
  <conditionalFormatting sqref="E23:H23">
    <cfRule type="colorScale" priority="20">
      <colorScale>
        <cfvo type="min"/>
        <cfvo type="max"/>
        <color rgb="FFD0E0E3"/>
        <color rgb="FF1E5965"/>
      </colorScale>
    </cfRule>
  </conditionalFormatting>
  <conditionalFormatting sqref="E22:H22">
    <cfRule type="colorScale" priority="21">
      <colorScale>
        <cfvo type="min"/>
        <cfvo type="max"/>
        <color rgb="FFD0E0E3"/>
        <color rgb="FF134F5C"/>
      </colorScale>
    </cfRule>
  </conditionalFormatting>
  <conditionalFormatting sqref="E28:H28">
    <cfRule type="colorScale" priority="22">
      <colorScale>
        <cfvo type="min"/>
        <cfvo type="max"/>
        <color rgb="FFD0E0E3"/>
        <color rgb="FF134F5C"/>
      </colorScale>
    </cfRule>
  </conditionalFormatting>
  <conditionalFormatting sqref="E30:H32">
    <cfRule type="colorScale" priority="23">
      <colorScale>
        <cfvo type="min"/>
        <cfvo type="max"/>
        <color rgb="FFD0E0E3"/>
        <color rgb="FF134F5C"/>
      </colorScale>
    </cfRule>
  </conditionalFormatting>
  <conditionalFormatting sqref="F33:G34 E33 H33 E39:H39">
    <cfRule type="colorScale" priority="24">
      <colorScale>
        <cfvo type="min"/>
        <cfvo type="max"/>
        <color rgb="FFD0E0E3"/>
        <color rgb="FF134F5C"/>
      </colorScale>
    </cfRule>
  </conditionalFormatting>
  <conditionalFormatting sqref="E34:H34">
    <cfRule type="colorScale" priority="25">
      <colorScale>
        <cfvo type="min"/>
        <cfvo type="max"/>
        <color rgb="FFD0E0E3"/>
        <color rgb="FF134F5C"/>
      </colorScale>
    </cfRule>
  </conditionalFormatting>
  <conditionalFormatting sqref="E36:H36">
    <cfRule type="colorScale" priority="26">
      <colorScale>
        <cfvo type="min"/>
        <cfvo type="max"/>
        <color rgb="FFD0E0E3"/>
        <color rgb="FF134F5C"/>
      </colorScale>
    </cfRule>
  </conditionalFormatting>
  <conditionalFormatting sqref="E38:H38">
    <cfRule type="colorScale" priority="27">
      <colorScale>
        <cfvo type="min"/>
        <cfvo type="max"/>
        <color rgb="FFD0E0E3"/>
        <color rgb="FF134F5C"/>
      </colorScale>
    </cfRule>
  </conditionalFormatting>
  <conditionalFormatting sqref="E39:H39">
    <cfRule type="colorScale" priority="28">
      <colorScale>
        <cfvo type="min"/>
        <cfvo type="max"/>
        <color rgb="FFD0E0E3"/>
        <color rgb="FF134F5C"/>
      </colorScale>
    </cfRule>
  </conditionalFormatting>
  <conditionalFormatting sqref="E43:H44">
    <cfRule type="colorScale" priority="29">
      <colorScale>
        <cfvo type="min"/>
        <cfvo type="max"/>
        <color rgb="FFD0E0E3"/>
        <color rgb="FF134F5C"/>
      </colorScale>
    </cfRule>
  </conditionalFormatting>
  <conditionalFormatting sqref="E45:H45">
    <cfRule type="colorScale" priority="30">
      <colorScale>
        <cfvo type="min"/>
        <cfvo type="max"/>
        <color rgb="FFD0E0E3"/>
        <color rgb="FF134F5C"/>
      </colorScale>
    </cfRule>
  </conditionalFormatting>
  <conditionalFormatting sqref="E40:H40">
    <cfRule type="colorScale" priority="31">
      <colorScale>
        <cfvo type="min"/>
        <cfvo type="max"/>
        <color rgb="FFD0E0E3"/>
        <color rgb="FF134F5C"/>
      </colorScale>
    </cfRule>
  </conditionalFormatting>
  <conditionalFormatting sqref="E42:H42">
    <cfRule type="colorScale" priority="32">
      <colorScale>
        <cfvo type="percent" val="0"/>
        <cfvo type="percent" val="100"/>
        <color rgb="FFD0E0E3"/>
        <color rgb="FF134F5C"/>
      </colorScale>
    </cfRule>
  </conditionalFormatting>
  <conditionalFormatting sqref="E41:H41">
    <cfRule type="colorScale" priority="33">
      <colorScale>
        <cfvo type="percent" val="0"/>
        <cfvo type="percent" val="100"/>
        <color rgb="FFD0E0E3"/>
        <color rgb="FF134F5C"/>
      </colorScale>
    </cfRule>
  </conditionalFormatting>
  <conditionalFormatting sqref="E47:H47">
    <cfRule type="colorScale" priority="34">
      <colorScale>
        <cfvo type="percent" val="0"/>
        <cfvo type="percent" val="100"/>
        <color rgb="FFD0E0E3"/>
        <color rgb="FF134F5C"/>
      </colorScale>
    </cfRule>
  </conditionalFormatting>
  <conditionalFormatting sqref="E48:H48">
    <cfRule type="colorScale" priority="35">
      <colorScale>
        <cfvo type="percent" val="0"/>
        <cfvo type="percent" val="100"/>
        <color rgb="FFD0E0E3"/>
        <color rgb="FF134F5C"/>
      </colorScale>
    </cfRule>
  </conditionalFormatting>
  <conditionalFormatting sqref="E49:H49">
    <cfRule type="colorScale" priority="36">
      <colorScale>
        <cfvo type="formula" val="30"/>
        <cfvo type="formula" val="200"/>
        <color rgb="FFD0E0E3"/>
        <color rgb="FF134F5C"/>
      </colorScale>
    </cfRule>
  </conditionalFormatting>
  <conditionalFormatting sqref="E51:H52">
    <cfRule type="colorScale" priority="37">
      <colorScale>
        <cfvo type="percent" val="0"/>
        <cfvo type="percent" val="100"/>
        <color rgb="FFD0E0E3"/>
        <color rgb="FF134F5C"/>
      </colorScale>
    </cfRule>
  </conditionalFormatting>
  <conditionalFormatting sqref="E53:H53">
    <cfRule type="colorScale" priority="38">
      <colorScale>
        <cfvo type="formula" val="0"/>
        <cfvo type="formula" val="5"/>
        <color rgb="FFD0E0E3"/>
        <color rgb="FF134F5C"/>
      </colorScale>
    </cfRule>
  </conditionalFormatting>
  <conditionalFormatting sqref="E35:H35">
    <cfRule type="colorScale" priority="4">
      <colorScale>
        <cfvo type="min"/>
        <cfvo type="max"/>
        <color rgb="FFD0E0E3"/>
        <color rgb="FF134F5C"/>
      </colorScale>
    </cfRule>
  </conditionalFormatting>
  <conditionalFormatting sqref="F18:G18">
    <cfRule type="colorScale" priority="3">
      <colorScale>
        <cfvo type="min"/>
        <cfvo type="max"/>
        <color rgb="FFD0E0E3"/>
        <color rgb="FF134F5C"/>
      </colorScale>
    </cfRule>
  </conditionalFormatting>
  <conditionalFormatting sqref="F6:G6">
    <cfRule type="colorScale" priority="2">
      <colorScale>
        <cfvo type="num" val="0"/>
        <cfvo type="num" val="50"/>
        <cfvo type="num" val="100"/>
        <color rgb="FFD0E0E3"/>
        <color rgb="FF76A5AF"/>
        <color rgb="FF134F5C"/>
      </colorScale>
    </cfRule>
  </conditionalFormatting>
  <conditionalFormatting sqref="F46:G46">
    <cfRule type="colorScale" priority="1">
      <colorScale>
        <cfvo type="percent" val="0"/>
        <cfvo type="percent" val="50"/>
        <cfvo type="percent" val="100"/>
        <color rgb="FFD0E0E3"/>
        <color rgb="FF76A5AF"/>
        <color rgb="FF134F5C"/>
      </colorScale>
    </cfRule>
  </conditionalFormatting>
  <pageMargins left="0.25" right="0.25" top="0.75" bottom="0.75" header="0" footer="0"/>
  <pageSetup scale="5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M1000"/>
  <sheetViews>
    <sheetView zoomScale="87" zoomScaleNormal="87" workbookViewId="0">
      <pane ySplit="3" topLeftCell="A4" activePane="bottomLeft" state="frozen"/>
      <selection pane="bottomLeft" activeCell="Q40" sqref="Q40"/>
    </sheetView>
  </sheetViews>
  <sheetFormatPr defaultColWidth="14.42578125" defaultRowHeight="15" customHeight="1"/>
  <cols>
    <col min="1" max="1" width="2.7109375" customWidth="1"/>
    <col min="2" max="2" width="46.140625" customWidth="1"/>
    <col min="3" max="3" width="2.85546875" customWidth="1"/>
    <col min="4" max="4" width="30.42578125" customWidth="1"/>
    <col min="5" max="5" width="9.7109375" customWidth="1"/>
    <col min="6" max="6" width="9.7109375" style="432" customWidth="1"/>
    <col min="7" max="7" width="23.7109375" style="432" customWidth="1"/>
    <col min="8" max="10" width="11" style="432" customWidth="1"/>
    <col min="11" max="11" width="11" customWidth="1"/>
    <col min="12" max="12" width="12.85546875" customWidth="1"/>
    <col min="13" max="13" width="23.7109375" style="432" customWidth="1"/>
    <col min="14" max="14" width="10.85546875" customWidth="1"/>
    <col min="15" max="15" width="2.28515625" customWidth="1"/>
    <col min="16" max="16" width="16.85546875" customWidth="1"/>
    <col min="17" max="17" width="28.85546875" customWidth="1"/>
    <col min="18" max="18" width="22.7109375" customWidth="1"/>
    <col min="19" max="19" width="3.140625" customWidth="1"/>
    <col min="20" max="20" width="30.85546875" customWidth="1"/>
    <col min="21" max="21" width="20.5703125" customWidth="1"/>
  </cols>
  <sheetData>
    <row r="1" spans="1:39" ht="42.75" customHeight="1" thickBot="1">
      <c r="A1" s="1"/>
      <c r="B1" s="715" t="s">
        <v>2</v>
      </c>
      <c r="C1" s="717"/>
      <c r="D1" s="462"/>
      <c r="E1" s="462"/>
      <c r="F1" s="462"/>
      <c r="G1" s="462"/>
      <c r="H1" s="462"/>
      <c r="I1" s="462"/>
      <c r="J1" s="462"/>
      <c r="K1" s="462"/>
      <c r="L1" s="462"/>
      <c r="M1" s="462"/>
      <c r="N1" s="462"/>
      <c r="O1" s="462"/>
      <c r="P1" s="462"/>
      <c r="Q1" s="462"/>
      <c r="R1" s="462"/>
      <c r="S1" s="462"/>
      <c r="T1" s="715"/>
      <c r="U1" s="717"/>
      <c r="V1" s="8"/>
      <c r="W1" s="8"/>
      <c r="X1" s="8"/>
      <c r="Y1" s="8"/>
      <c r="Z1" s="8"/>
      <c r="AA1" s="8"/>
      <c r="AB1" s="8"/>
      <c r="AC1" s="8"/>
      <c r="AD1" s="8"/>
      <c r="AE1" s="8"/>
      <c r="AF1" s="8"/>
      <c r="AG1" s="8"/>
      <c r="AH1" s="8"/>
      <c r="AI1" s="8"/>
      <c r="AJ1" s="8"/>
      <c r="AK1" s="8"/>
      <c r="AL1" s="8"/>
      <c r="AM1" s="8"/>
    </row>
    <row r="2" spans="1:39">
      <c r="A2" s="3"/>
      <c r="B2" s="3"/>
      <c r="C2" s="3"/>
      <c r="D2" s="3"/>
      <c r="E2" s="3"/>
      <c r="F2" s="307"/>
      <c r="G2" s="307"/>
      <c r="H2" s="307"/>
      <c r="I2" s="307"/>
      <c r="J2" s="307"/>
      <c r="K2" s="3"/>
      <c r="L2" s="3"/>
      <c r="M2" s="307"/>
      <c r="N2" s="3"/>
      <c r="O2" s="3"/>
      <c r="P2" s="3"/>
      <c r="Q2" s="3"/>
      <c r="R2" s="3"/>
      <c r="S2" s="3"/>
      <c r="T2" s="3"/>
      <c r="U2" s="3"/>
      <c r="V2" s="8"/>
      <c r="W2" s="8"/>
      <c r="X2" s="8"/>
      <c r="Y2" s="8"/>
      <c r="Z2" s="8"/>
      <c r="AA2" s="8"/>
      <c r="AB2" s="8"/>
      <c r="AC2" s="8"/>
      <c r="AD2" s="8"/>
      <c r="AE2" s="8"/>
      <c r="AF2" s="8"/>
      <c r="AG2" s="8"/>
      <c r="AH2" s="8"/>
      <c r="AI2" s="8"/>
      <c r="AJ2" s="8"/>
      <c r="AK2" s="8"/>
      <c r="AL2" s="8"/>
      <c r="AM2" s="8"/>
    </row>
    <row r="3" spans="1:39" ht="15.75" thickBot="1">
      <c r="A3" s="9"/>
      <c r="B3" s="11" t="s">
        <v>3</v>
      </c>
      <c r="C3" s="9"/>
      <c r="D3" s="9"/>
      <c r="E3" s="11"/>
      <c r="F3" s="374"/>
      <c r="G3" s="374"/>
      <c r="H3" s="374"/>
      <c r="I3" s="374"/>
      <c r="J3" s="374"/>
      <c r="K3" s="9"/>
      <c r="L3" s="9"/>
      <c r="M3" s="461"/>
      <c r="N3" s="9"/>
      <c r="O3" s="11"/>
      <c r="P3" s="11"/>
      <c r="Q3" s="11"/>
      <c r="R3" s="9"/>
      <c r="S3" s="9"/>
      <c r="T3" s="9"/>
      <c r="U3" s="9"/>
      <c r="V3" s="8"/>
      <c r="W3" s="8"/>
      <c r="X3" s="8"/>
      <c r="Y3" s="8"/>
      <c r="Z3" s="8"/>
      <c r="AA3" s="8"/>
      <c r="AB3" s="8"/>
      <c r="AC3" s="8"/>
      <c r="AD3" s="8"/>
      <c r="AE3" s="8"/>
      <c r="AF3" s="8"/>
      <c r="AG3" s="8"/>
      <c r="AH3" s="8"/>
      <c r="AI3" s="8"/>
      <c r="AJ3" s="8"/>
      <c r="AK3" s="8"/>
      <c r="AL3" s="8"/>
      <c r="AM3" s="8"/>
    </row>
    <row r="4" spans="1:39" ht="15.75" thickBot="1">
      <c r="A4" s="3"/>
      <c r="B4" s="13"/>
      <c r="C4" s="14"/>
      <c r="D4" s="16"/>
      <c r="E4" s="16"/>
      <c r="F4" s="375"/>
      <c r="G4" s="375"/>
      <c r="H4" s="375"/>
      <c r="I4" s="375"/>
      <c r="J4" s="375"/>
      <c r="K4" s="16"/>
      <c r="L4" s="16"/>
      <c r="M4" s="375"/>
      <c r="N4" s="16"/>
      <c r="O4" s="16"/>
      <c r="P4" s="16"/>
      <c r="Q4" s="16"/>
      <c r="R4" s="21"/>
      <c r="S4" s="20"/>
      <c r="T4" s="20"/>
      <c r="V4" s="8"/>
      <c r="W4" s="8"/>
      <c r="X4" s="8"/>
      <c r="Y4" s="8"/>
      <c r="Z4" s="8"/>
      <c r="AA4" s="8"/>
      <c r="AB4" s="8"/>
      <c r="AC4" s="8"/>
      <c r="AD4" s="8"/>
      <c r="AE4" s="8"/>
      <c r="AF4" s="8"/>
      <c r="AG4" s="8"/>
      <c r="AH4" s="8"/>
      <c r="AI4" s="8"/>
      <c r="AJ4" s="8"/>
      <c r="AK4" s="8"/>
      <c r="AL4" s="8"/>
      <c r="AM4" s="8"/>
    </row>
    <row r="5" spans="1:39" ht="15" customHeight="1">
      <c r="A5" s="3"/>
      <c r="B5" s="962" t="s">
        <v>1106</v>
      </c>
      <c r="C5" s="20"/>
      <c r="D5" s="953" t="s">
        <v>25</v>
      </c>
      <c r="E5" s="954"/>
      <c r="F5" s="955"/>
      <c r="G5" s="958" t="s">
        <v>26</v>
      </c>
      <c r="H5" s="954"/>
      <c r="I5" s="954"/>
      <c r="J5" s="954"/>
      <c r="K5" s="954"/>
      <c r="L5" s="955"/>
      <c r="M5" s="958" t="s">
        <v>27</v>
      </c>
      <c r="N5" s="964"/>
      <c r="O5" s="471"/>
      <c r="P5" s="62" t="s">
        <v>231</v>
      </c>
      <c r="Q5" s="20"/>
      <c r="R5" s="20"/>
      <c r="S5" s="20"/>
      <c r="T5" s="62" t="s">
        <v>952</v>
      </c>
      <c r="U5" s="20"/>
      <c r="V5" s="8"/>
      <c r="W5" s="8"/>
      <c r="X5" s="8"/>
      <c r="Y5" s="8"/>
      <c r="Z5" s="8"/>
      <c r="AA5" s="8"/>
      <c r="AB5" s="8"/>
      <c r="AC5" s="8"/>
      <c r="AD5" s="8"/>
      <c r="AE5" s="8"/>
      <c r="AF5" s="8"/>
      <c r="AG5" s="8"/>
      <c r="AH5" s="8"/>
      <c r="AI5" s="8"/>
      <c r="AJ5" s="8"/>
      <c r="AK5" s="8"/>
      <c r="AL5" s="8"/>
      <c r="AM5" s="8"/>
    </row>
    <row r="6" spans="1:39">
      <c r="A6" s="3"/>
      <c r="B6" s="963"/>
      <c r="C6" s="20"/>
      <c r="D6" s="654"/>
      <c r="E6" s="956"/>
      <c r="F6" s="638"/>
      <c r="G6" s="959" t="s">
        <v>45</v>
      </c>
      <c r="H6" s="637"/>
      <c r="I6" s="637"/>
      <c r="J6" s="637"/>
      <c r="K6" s="637"/>
      <c r="L6" s="638"/>
      <c r="M6" s="710"/>
      <c r="N6" s="965"/>
      <c r="O6" s="489"/>
      <c r="P6" s="490">
        <v>1.222</v>
      </c>
      <c r="Q6" s="491" t="s">
        <v>236</v>
      </c>
      <c r="R6" s="492" t="s">
        <v>151</v>
      </c>
      <c r="S6" s="20"/>
      <c r="T6" s="464" t="s">
        <v>375</v>
      </c>
      <c r="U6" s="464"/>
      <c r="V6" s="8"/>
      <c r="W6" s="8"/>
      <c r="X6" s="8"/>
      <c r="Y6" s="8"/>
      <c r="Z6" s="8"/>
      <c r="AA6" s="8"/>
      <c r="AB6" s="8"/>
      <c r="AC6" s="8"/>
      <c r="AD6" s="8"/>
      <c r="AE6" s="8"/>
      <c r="AF6" s="8"/>
      <c r="AG6" s="8"/>
      <c r="AH6" s="8"/>
      <c r="AI6" s="8"/>
      <c r="AJ6" s="8"/>
      <c r="AK6" s="8"/>
      <c r="AL6" s="8"/>
      <c r="AM6" s="8"/>
    </row>
    <row r="7" spans="1:39">
      <c r="A7" s="3"/>
      <c r="B7" s="963"/>
      <c r="C7" s="20"/>
      <c r="D7" s="654"/>
      <c r="E7" s="956"/>
      <c r="F7" s="638"/>
      <c r="G7" s="710"/>
      <c r="H7" s="637"/>
      <c r="I7" s="637"/>
      <c r="J7" s="637"/>
      <c r="K7" s="637"/>
      <c r="L7" s="638"/>
      <c r="M7" s="710"/>
      <c r="N7" s="965"/>
      <c r="O7" s="489"/>
      <c r="P7" s="490">
        <f>P6/3.41</f>
        <v>0.35835777126099705</v>
      </c>
      <c r="Q7" s="491" t="s">
        <v>239</v>
      </c>
      <c r="R7" s="492" t="s">
        <v>151</v>
      </c>
      <c r="S7" s="20"/>
      <c r="T7" s="465" t="s">
        <v>376</v>
      </c>
      <c r="U7" s="466">
        <v>106800</v>
      </c>
      <c r="V7" s="8"/>
      <c r="W7" s="8"/>
      <c r="X7" s="8"/>
      <c r="Y7" s="8"/>
      <c r="Z7" s="8"/>
      <c r="AA7" s="8"/>
      <c r="AB7" s="8"/>
      <c r="AC7" s="8"/>
      <c r="AD7" s="8"/>
      <c r="AE7" s="8"/>
      <c r="AF7" s="8"/>
      <c r="AG7" s="8"/>
      <c r="AH7" s="8"/>
      <c r="AI7" s="8"/>
      <c r="AJ7" s="8"/>
      <c r="AK7" s="8"/>
      <c r="AL7" s="8"/>
      <c r="AM7" s="8"/>
    </row>
    <row r="8" spans="1:39" ht="15" customHeight="1" thickBot="1">
      <c r="A8" s="3"/>
      <c r="B8" s="963"/>
      <c r="C8" s="20"/>
      <c r="D8" s="952"/>
      <c r="E8" s="791"/>
      <c r="F8" s="957"/>
      <c r="G8" s="472"/>
      <c r="H8" s="463">
        <v>0.35835777126099705</v>
      </c>
      <c r="I8" s="463">
        <v>0.12081317599999998</v>
      </c>
      <c r="J8" s="463">
        <v>0.1606474820143885</v>
      </c>
      <c r="K8" s="463">
        <v>0.12081317599999998</v>
      </c>
      <c r="L8" s="473"/>
      <c r="M8" s="711"/>
      <c r="N8" s="966"/>
      <c r="O8" s="489"/>
      <c r="P8" s="490">
        <v>5.4799999999999996E-3</v>
      </c>
      <c r="Q8" s="491" t="s">
        <v>242</v>
      </c>
      <c r="R8" s="492" t="s">
        <v>243</v>
      </c>
      <c r="S8" s="20"/>
      <c r="T8" s="465" t="s">
        <v>377</v>
      </c>
      <c r="U8" s="466">
        <v>112900</v>
      </c>
      <c r="V8" s="8"/>
      <c r="W8" s="8"/>
      <c r="X8" s="8"/>
      <c r="Y8" s="8"/>
      <c r="Z8" s="8"/>
      <c r="AA8" s="8"/>
      <c r="AB8" s="8"/>
      <c r="AC8" s="8"/>
      <c r="AD8" s="8"/>
      <c r="AE8" s="8"/>
      <c r="AF8" s="8"/>
      <c r="AG8" s="8"/>
      <c r="AH8" s="8"/>
      <c r="AI8" s="8"/>
      <c r="AJ8" s="8"/>
      <c r="AK8" s="8"/>
      <c r="AL8" s="8"/>
      <c r="AM8" s="8"/>
    </row>
    <row r="9" spans="1:39" ht="15" customHeight="1">
      <c r="A9" s="3"/>
      <c r="B9" s="963"/>
      <c r="C9" s="20"/>
      <c r="D9" s="951" t="s">
        <v>24</v>
      </c>
      <c r="E9" s="644" t="s">
        <v>148</v>
      </c>
      <c r="F9" s="647" t="s">
        <v>149</v>
      </c>
      <c r="G9" s="691" t="s">
        <v>150</v>
      </c>
      <c r="H9" s="960" t="s">
        <v>151</v>
      </c>
      <c r="I9" s="960" t="s">
        <v>152</v>
      </c>
      <c r="J9" s="960" t="s">
        <v>153</v>
      </c>
      <c r="K9" s="960" t="s">
        <v>154</v>
      </c>
      <c r="L9" s="658" t="s">
        <v>155</v>
      </c>
      <c r="M9" s="709" t="s">
        <v>156</v>
      </c>
      <c r="N9" s="967" t="s">
        <v>157</v>
      </c>
      <c r="O9" s="489"/>
      <c r="P9" s="490">
        <f>P8*2204.62</f>
        <v>12.081317599999998</v>
      </c>
      <c r="Q9" s="491" t="s">
        <v>249</v>
      </c>
      <c r="R9" s="492" t="s">
        <v>243</v>
      </c>
      <c r="S9" s="20"/>
      <c r="T9" s="465" t="s">
        <v>378</v>
      </c>
      <c r="U9" s="466">
        <v>69900</v>
      </c>
      <c r="V9" s="8"/>
      <c r="W9" s="8"/>
      <c r="X9" s="8"/>
      <c r="Y9" s="8"/>
      <c r="Z9" s="8"/>
      <c r="AA9" s="8"/>
      <c r="AB9" s="8"/>
      <c r="AC9" s="8"/>
      <c r="AD9" s="8"/>
      <c r="AE9" s="8"/>
      <c r="AF9" s="8"/>
      <c r="AG9" s="8"/>
      <c r="AH9" s="8"/>
      <c r="AI9" s="8"/>
      <c r="AJ9" s="8"/>
      <c r="AK9" s="8"/>
      <c r="AL9" s="8"/>
      <c r="AM9" s="8"/>
    </row>
    <row r="10" spans="1:39">
      <c r="A10" s="3"/>
      <c r="B10" s="963"/>
      <c r="C10" s="20"/>
      <c r="D10" s="654"/>
      <c r="E10" s="645"/>
      <c r="F10" s="648"/>
      <c r="G10" s="961"/>
      <c r="H10" s="651"/>
      <c r="I10" s="651"/>
      <c r="J10" s="651"/>
      <c r="K10" s="651"/>
      <c r="L10" s="645"/>
      <c r="M10" s="710"/>
      <c r="N10" s="965"/>
      <c r="O10" s="489"/>
      <c r="P10" s="490">
        <f>P9/100</f>
        <v>0.12081317599999998</v>
      </c>
      <c r="Q10" s="491" t="s">
        <v>239</v>
      </c>
      <c r="R10" s="492" t="s">
        <v>243</v>
      </c>
      <c r="S10" s="20"/>
      <c r="T10" s="465" t="s">
        <v>379</v>
      </c>
      <c r="U10" s="466">
        <v>93100</v>
      </c>
      <c r="V10" s="8"/>
      <c r="W10" s="8"/>
      <c r="X10" s="8"/>
      <c r="Y10" s="8"/>
      <c r="Z10" s="8"/>
      <c r="AA10" s="8"/>
      <c r="AB10" s="8"/>
      <c r="AC10" s="8"/>
      <c r="AD10" s="8"/>
      <c r="AE10" s="8"/>
      <c r="AF10" s="8"/>
      <c r="AG10" s="8"/>
      <c r="AH10" s="8"/>
      <c r="AI10" s="8"/>
      <c r="AJ10" s="8"/>
      <c r="AK10" s="8"/>
      <c r="AL10" s="8"/>
      <c r="AM10" s="8"/>
    </row>
    <row r="11" spans="1:39" ht="15.75" thickBot="1">
      <c r="A11" s="3"/>
      <c r="B11" s="963"/>
      <c r="C11" s="20"/>
      <c r="D11" s="952"/>
      <c r="E11" s="646"/>
      <c r="F11" s="649"/>
      <c r="G11" s="693"/>
      <c r="H11" s="652"/>
      <c r="I11" s="652"/>
      <c r="J11" s="652"/>
      <c r="K11" s="652"/>
      <c r="L11" s="646"/>
      <c r="M11" s="711"/>
      <c r="N11" s="966"/>
      <c r="O11" s="489"/>
      <c r="P11" s="490">
        <v>10.15</v>
      </c>
      <c r="Q11" s="491" t="s">
        <v>255</v>
      </c>
      <c r="R11" s="492" t="s">
        <v>256</v>
      </c>
      <c r="S11" s="20"/>
      <c r="T11" s="465" t="s">
        <v>380</v>
      </c>
      <c r="U11" s="466">
        <v>112800</v>
      </c>
      <c r="V11" s="8"/>
      <c r="W11" s="8"/>
      <c r="X11" s="8"/>
      <c r="Y11" s="8"/>
      <c r="Z11" s="8"/>
      <c r="AA11" s="8"/>
      <c r="AB11" s="8"/>
      <c r="AC11" s="8"/>
      <c r="AD11" s="8"/>
      <c r="AE11" s="8"/>
      <c r="AF11" s="8"/>
      <c r="AG11" s="8"/>
      <c r="AH11" s="8"/>
      <c r="AI11" s="8"/>
      <c r="AJ11" s="8"/>
      <c r="AK11" s="8"/>
      <c r="AL11" s="8"/>
      <c r="AM11" s="8"/>
    </row>
    <row r="12" spans="1:39">
      <c r="A12" s="3"/>
      <c r="B12" s="963"/>
      <c r="C12" s="20"/>
      <c r="D12" s="474" t="s">
        <v>169</v>
      </c>
      <c r="E12" s="475">
        <v>77</v>
      </c>
      <c r="F12" s="476">
        <v>1</v>
      </c>
      <c r="G12" s="477" t="s">
        <v>170</v>
      </c>
      <c r="H12" s="478">
        <v>0.7</v>
      </c>
      <c r="I12" s="478">
        <v>0.23</v>
      </c>
      <c r="J12" s="478">
        <v>0.01</v>
      </c>
      <c r="K12" s="478">
        <v>0.06</v>
      </c>
      <c r="L12" s="479">
        <f>(E12*H12*$H$8)+(E12*I12*$I$8)+(E12*J12*$J$8)+(E12*K12*$K$8)</f>
        <v>22.13694065219882</v>
      </c>
      <c r="M12" s="477" t="s">
        <v>170</v>
      </c>
      <c r="N12" s="480">
        <v>14.6</v>
      </c>
      <c r="O12" s="489"/>
      <c r="P12" s="490">
        <f>P11*2.2</f>
        <v>22.330000000000002</v>
      </c>
      <c r="Q12" s="491" t="s">
        <v>264</v>
      </c>
      <c r="R12" s="492" t="s">
        <v>256</v>
      </c>
      <c r="S12" s="20"/>
      <c r="T12" s="465" t="s">
        <v>381</v>
      </c>
      <c r="U12" s="466">
        <v>111300</v>
      </c>
      <c r="V12" s="8"/>
      <c r="W12" s="8"/>
      <c r="X12" s="8"/>
      <c r="Y12" s="8"/>
      <c r="Z12" s="8"/>
      <c r="AA12" s="8"/>
      <c r="AB12" s="8"/>
      <c r="AC12" s="8"/>
      <c r="AD12" s="8"/>
      <c r="AE12" s="8"/>
      <c r="AF12" s="8"/>
      <c r="AG12" s="8"/>
      <c r="AH12" s="8"/>
      <c r="AI12" s="8"/>
      <c r="AJ12" s="8"/>
      <c r="AK12" s="8"/>
      <c r="AL12" s="8"/>
      <c r="AM12" s="8"/>
    </row>
    <row r="13" spans="1:39">
      <c r="A13" s="3"/>
      <c r="B13" s="963"/>
      <c r="C13" s="20"/>
      <c r="D13" s="474" t="s">
        <v>180</v>
      </c>
      <c r="E13" s="481">
        <v>52</v>
      </c>
      <c r="F13" s="479">
        <v>1.2</v>
      </c>
      <c r="G13" s="477" t="s">
        <v>181</v>
      </c>
      <c r="H13" s="478">
        <v>0.56999999999999995</v>
      </c>
      <c r="I13" s="478">
        <v>0.28000000000000003</v>
      </c>
      <c r="J13" s="478">
        <v>0.01</v>
      </c>
      <c r="K13" s="478">
        <v>0.13</v>
      </c>
      <c r="L13" s="479">
        <f t="shared" ref="L13:L51" si="0">(E13*H13*$H$8)+(E13*I13*$I$8)+(E13*J13*$J$8)+(E13*K13*$K$8)</f>
        <v>13.280997943143435</v>
      </c>
      <c r="M13" s="477" t="s">
        <v>182</v>
      </c>
      <c r="N13" s="480">
        <v>25.7</v>
      </c>
      <c r="O13" s="489"/>
      <c r="P13" s="490">
        <f>P12/139</f>
        <v>0.1606474820143885</v>
      </c>
      <c r="Q13" s="491" t="s">
        <v>269</v>
      </c>
      <c r="R13" s="492" t="s">
        <v>256</v>
      </c>
      <c r="S13" s="20"/>
      <c r="T13" s="465" t="s">
        <v>382</v>
      </c>
      <c r="U13" s="466">
        <v>74000</v>
      </c>
      <c r="V13" s="8"/>
      <c r="W13" s="8"/>
      <c r="X13" s="8"/>
      <c r="Y13" s="8"/>
      <c r="Z13" s="8"/>
      <c r="AA13" s="8"/>
      <c r="AB13" s="8"/>
      <c r="AC13" s="8"/>
      <c r="AD13" s="8"/>
      <c r="AE13" s="8"/>
      <c r="AF13" s="8"/>
      <c r="AG13" s="8"/>
      <c r="AH13" s="8"/>
      <c r="AI13" s="8"/>
      <c r="AJ13" s="8"/>
      <c r="AK13" s="8"/>
      <c r="AL13" s="8"/>
      <c r="AM13" s="8"/>
    </row>
    <row r="14" spans="1:39">
      <c r="A14" s="3"/>
      <c r="B14" s="963"/>
      <c r="C14" s="20"/>
      <c r="D14" s="474" t="s">
        <v>190</v>
      </c>
      <c r="E14" s="481">
        <v>120</v>
      </c>
      <c r="F14" s="479">
        <v>1.2</v>
      </c>
      <c r="G14" s="477" t="s">
        <v>191</v>
      </c>
      <c r="H14" s="478">
        <v>0.54</v>
      </c>
      <c r="I14" s="478">
        <v>0.35</v>
      </c>
      <c r="J14" s="478">
        <v>0.03</v>
      </c>
      <c r="K14" s="478">
        <v>0</v>
      </c>
      <c r="L14" s="479">
        <f t="shared" si="0"/>
        <v>28.874067904964413</v>
      </c>
      <c r="M14" s="477" t="s">
        <v>191</v>
      </c>
      <c r="N14" s="480">
        <v>14.6</v>
      </c>
      <c r="O14" s="489"/>
      <c r="P14" s="490">
        <v>12.7</v>
      </c>
      <c r="Q14" s="492" t="s">
        <v>264</v>
      </c>
      <c r="R14" s="492" t="s">
        <v>271</v>
      </c>
      <c r="S14" s="20"/>
      <c r="T14" s="465" t="s">
        <v>383</v>
      </c>
      <c r="U14" s="466">
        <v>81800</v>
      </c>
      <c r="V14" s="8"/>
      <c r="W14" s="8"/>
      <c r="X14" s="8"/>
      <c r="Y14" s="8"/>
      <c r="Z14" s="8"/>
      <c r="AA14" s="8"/>
      <c r="AB14" s="8"/>
      <c r="AC14" s="8"/>
      <c r="AD14" s="8"/>
      <c r="AE14" s="8"/>
      <c r="AF14" s="8"/>
      <c r="AG14" s="8"/>
      <c r="AH14" s="8"/>
      <c r="AI14" s="8"/>
      <c r="AJ14" s="8"/>
      <c r="AK14" s="8"/>
      <c r="AL14" s="8"/>
      <c r="AM14" s="8"/>
    </row>
    <row r="15" spans="1:39">
      <c r="A15" s="3"/>
      <c r="B15" s="963"/>
      <c r="C15" s="20"/>
      <c r="D15" s="474" t="s">
        <v>197</v>
      </c>
      <c r="E15" s="481">
        <v>66</v>
      </c>
      <c r="F15" s="479">
        <v>1.1000000000000001</v>
      </c>
      <c r="G15" s="477" t="s">
        <v>181</v>
      </c>
      <c r="H15" s="478">
        <v>0.56999999999999995</v>
      </c>
      <c r="I15" s="478">
        <v>0.28000000000000003</v>
      </c>
      <c r="J15" s="478">
        <v>0.01</v>
      </c>
      <c r="K15" s="478">
        <v>0.13</v>
      </c>
      <c r="L15" s="479">
        <f t="shared" si="0"/>
        <v>16.856651235528204</v>
      </c>
      <c r="M15" s="477" t="s">
        <v>182</v>
      </c>
      <c r="N15" s="480">
        <v>25.7</v>
      </c>
      <c r="O15" s="489"/>
      <c r="P15" s="490">
        <f>P14/92</f>
        <v>0.13804347826086955</v>
      </c>
      <c r="Q15" s="492" t="s">
        <v>269</v>
      </c>
      <c r="R15" s="492" t="s">
        <v>271</v>
      </c>
      <c r="S15" s="20"/>
      <c r="T15" s="465"/>
      <c r="U15" s="465"/>
      <c r="V15" s="8"/>
      <c r="W15" s="8"/>
      <c r="X15" s="8"/>
      <c r="Y15" s="8"/>
      <c r="Z15" s="8"/>
      <c r="AA15" s="8"/>
      <c r="AB15" s="8"/>
      <c r="AC15" s="8"/>
      <c r="AD15" s="8"/>
      <c r="AE15" s="8"/>
      <c r="AF15" s="8"/>
      <c r="AG15" s="8"/>
      <c r="AH15" s="8"/>
      <c r="AI15" s="8"/>
      <c r="AJ15" s="8"/>
      <c r="AK15" s="8"/>
      <c r="AL15" s="8"/>
      <c r="AM15" s="8"/>
    </row>
    <row r="16" spans="1:39">
      <c r="A16" s="3"/>
      <c r="B16" s="963"/>
      <c r="C16" s="20"/>
      <c r="D16" s="474" t="s">
        <v>198</v>
      </c>
      <c r="E16" s="481">
        <v>118</v>
      </c>
      <c r="F16" s="479">
        <v>1.2</v>
      </c>
      <c r="G16" s="477" t="s">
        <v>170</v>
      </c>
      <c r="H16" s="478">
        <v>0.7</v>
      </c>
      <c r="I16" s="478">
        <v>0.23</v>
      </c>
      <c r="J16" s="478">
        <v>0.01</v>
      </c>
      <c r="K16" s="478">
        <v>0.06</v>
      </c>
      <c r="L16" s="479">
        <f t="shared" si="0"/>
        <v>33.92414281765533</v>
      </c>
      <c r="M16" s="477" t="s">
        <v>170</v>
      </c>
      <c r="N16" s="480">
        <v>14.6</v>
      </c>
      <c r="O16" s="489"/>
      <c r="P16" s="493"/>
      <c r="Q16" s="492"/>
      <c r="R16" s="492"/>
      <c r="S16" s="20"/>
      <c r="T16" s="467" t="s">
        <v>387</v>
      </c>
      <c r="U16" s="465"/>
      <c r="V16" s="8"/>
      <c r="W16" s="8"/>
      <c r="X16" s="8"/>
      <c r="Y16" s="8"/>
      <c r="Z16" s="8"/>
      <c r="AA16" s="8"/>
      <c r="AB16" s="8"/>
      <c r="AC16" s="8"/>
      <c r="AD16" s="8"/>
      <c r="AE16" s="8"/>
      <c r="AF16" s="8"/>
      <c r="AG16" s="8"/>
      <c r="AH16" s="8"/>
      <c r="AI16" s="8"/>
      <c r="AJ16" s="8"/>
      <c r="AK16" s="8"/>
      <c r="AL16" s="8"/>
      <c r="AM16" s="8"/>
    </row>
    <row r="17" spans="1:39">
      <c r="A17" s="3"/>
      <c r="B17" s="963"/>
      <c r="C17" s="20"/>
      <c r="D17" s="474" t="s">
        <v>200</v>
      </c>
      <c r="E17" s="481">
        <v>75</v>
      </c>
      <c r="F17" s="479">
        <v>1.2</v>
      </c>
      <c r="G17" s="477" t="s">
        <v>191</v>
      </c>
      <c r="H17" s="478">
        <v>0.54</v>
      </c>
      <c r="I17" s="478">
        <v>0.35</v>
      </c>
      <c r="J17" s="478">
        <v>0.03</v>
      </c>
      <c r="K17" s="478">
        <v>0</v>
      </c>
      <c r="L17" s="479">
        <f t="shared" si="0"/>
        <v>18.046292440602752</v>
      </c>
      <c r="M17" s="477" t="s">
        <v>191</v>
      </c>
      <c r="N17" s="480">
        <v>14.6</v>
      </c>
      <c r="O17" s="471"/>
      <c r="P17" s="20"/>
      <c r="Q17" s="20"/>
      <c r="R17" s="20"/>
      <c r="S17" s="20"/>
      <c r="T17" s="468" t="s">
        <v>203</v>
      </c>
      <c r="U17" s="468"/>
      <c r="V17" s="8"/>
      <c r="W17" s="8"/>
      <c r="X17" s="8"/>
      <c r="Y17" s="8"/>
      <c r="Z17" s="8"/>
      <c r="AA17" s="8"/>
      <c r="AB17" s="8"/>
      <c r="AC17" s="8"/>
      <c r="AD17" s="8"/>
      <c r="AE17" s="8"/>
      <c r="AF17" s="8"/>
      <c r="AG17" s="8"/>
      <c r="AH17" s="8"/>
      <c r="AI17" s="8"/>
      <c r="AJ17" s="8"/>
      <c r="AK17" s="8"/>
      <c r="AL17" s="8"/>
      <c r="AM17" s="8"/>
    </row>
    <row r="18" spans="1:39">
      <c r="A18" s="3"/>
      <c r="B18" s="963"/>
      <c r="C18" s="20"/>
      <c r="D18" s="474" t="s">
        <v>206</v>
      </c>
      <c r="E18" s="481">
        <v>76</v>
      </c>
      <c r="F18" s="479">
        <v>1.2</v>
      </c>
      <c r="G18" s="477" t="s">
        <v>191</v>
      </c>
      <c r="H18" s="478">
        <v>0.54</v>
      </c>
      <c r="I18" s="478">
        <v>0.35</v>
      </c>
      <c r="J18" s="478">
        <v>0.03</v>
      </c>
      <c r="K18" s="478">
        <v>0</v>
      </c>
      <c r="L18" s="479">
        <f t="shared" si="0"/>
        <v>18.286909673144123</v>
      </c>
      <c r="M18" s="477" t="s">
        <v>191</v>
      </c>
      <c r="N18" s="480">
        <v>14.6</v>
      </c>
      <c r="O18" s="471"/>
      <c r="P18" s="542" t="s">
        <v>277</v>
      </c>
      <c r="Q18" s="590"/>
      <c r="R18" s="543"/>
      <c r="S18" s="20"/>
      <c r="T18" s="465" t="s">
        <v>388</v>
      </c>
      <c r="U18" s="469">
        <v>0.45450643776824035</v>
      </c>
      <c r="V18" s="8"/>
      <c r="W18" s="8"/>
      <c r="X18" s="8"/>
      <c r="Y18" s="8"/>
      <c r="Z18" s="8"/>
      <c r="AA18" s="8"/>
      <c r="AB18" s="8"/>
      <c r="AC18" s="8"/>
      <c r="AD18" s="8"/>
      <c r="AE18" s="8"/>
      <c r="AF18" s="8"/>
      <c r="AG18" s="8"/>
      <c r="AH18" s="8"/>
      <c r="AI18" s="8"/>
      <c r="AJ18" s="8"/>
      <c r="AK18" s="8"/>
      <c r="AL18" s="8"/>
      <c r="AM18" s="8"/>
    </row>
    <row r="19" spans="1:39">
      <c r="A19" s="3"/>
      <c r="B19" s="963"/>
      <c r="C19" s="20"/>
      <c r="D19" s="474" t="s">
        <v>207</v>
      </c>
      <c r="E19" s="481">
        <v>75</v>
      </c>
      <c r="F19" s="479">
        <v>1.2</v>
      </c>
      <c r="G19" s="477" t="s">
        <v>191</v>
      </c>
      <c r="H19" s="478">
        <v>0.54</v>
      </c>
      <c r="I19" s="478">
        <v>0.35</v>
      </c>
      <c r="J19" s="478">
        <v>0.03</v>
      </c>
      <c r="K19" s="478">
        <v>0</v>
      </c>
      <c r="L19" s="479">
        <f t="shared" si="0"/>
        <v>18.046292440602752</v>
      </c>
      <c r="M19" s="477" t="s">
        <v>191</v>
      </c>
      <c r="N19" s="480">
        <v>14.6</v>
      </c>
      <c r="O19" s="471"/>
      <c r="P19" s="79" t="s">
        <v>281</v>
      </c>
      <c r="Q19" s="19"/>
      <c r="R19" s="19"/>
      <c r="S19" s="20"/>
      <c r="T19" s="465" t="s">
        <v>389</v>
      </c>
      <c r="U19" s="469">
        <v>0.44477825464949927</v>
      </c>
      <c r="V19" s="8"/>
      <c r="W19" s="8"/>
      <c r="X19" s="8"/>
      <c r="Y19" s="8"/>
      <c r="Z19" s="8"/>
      <c r="AA19" s="8"/>
      <c r="AB19" s="8"/>
      <c r="AC19" s="8"/>
      <c r="AD19" s="8"/>
      <c r="AE19" s="8"/>
      <c r="AF19" s="8"/>
      <c r="AG19" s="8"/>
      <c r="AH19" s="8"/>
      <c r="AI19" s="8"/>
      <c r="AJ19" s="8"/>
      <c r="AK19" s="8"/>
      <c r="AL19" s="8"/>
      <c r="AM19" s="8"/>
    </row>
    <row r="20" spans="1:39" ht="15.75" customHeight="1">
      <c r="A20" s="3"/>
      <c r="B20" s="963"/>
      <c r="C20" s="20"/>
      <c r="D20" s="474" t="s">
        <v>209</v>
      </c>
      <c r="E20" s="481">
        <v>534</v>
      </c>
      <c r="F20" s="479">
        <v>1.5</v>
      </c>
      <c r="G20" s="477" t="s">
        <v>210</v>
      </c>
      <c r="H20" s="478">
        <v>0.54</v>
      </c>
      <c r="I20" s="478">
        <v>0.44</v>
      </c>
      <c r="J20" s="478">
        <v>0</v>
      </c>
      <c r="K20" s="478">
        <v>0</v>
      </c>
      <c r="L20" s="479">
        <f t="shared" si="0"/>
        <v>131.72231075378113</v>
      </c>
      <c r="M20" s="477" t="s">
        <v>211</v>
      </c>
      <c r="N20" s="480">
        <v>215</v>
      </c>
      <c r="O20" s="471"/>
      <c r="P20" s="22" t="str">
        <f>HYPERLINK("https://www.eia.gov/consumption/residential/data/2015/index.php?view=consumption#summary","RECS: Annual household site fuel Consumption 2015")</f>
        <v>RECS: Annual household site fuel Consumption 2015</v>
      </c>
      <c r="Q20" s="19"/>
      <c r="R20" s="19"/>
      <c r="S20" s="20"/>
      <c r="T20" s="465" t="s">
        <v>271</v>
      </c>
      <c r="U20" s="469">
        <v>4.492131616595136E-2</v>
      </c>
      <c r="V20" s="8"/>
      <c r="W20" s="8"/>
      <c r="X20" s="8"/>
      <c r="Y20" s="8"/>
      <c r="Z20" s="8"/>
      <c r="AA20" s="8"/>
      <c r="AB20" s="8"/>
      <c r="AC20" s="8"/>
      <c r="AD20" s="8"/>
      <c r="AE20" s="8"/>
      <c r="AF20" s="8"/>
      <c r="AG20" s="8"/>
      <c r="AH20" s="8"/>
      <c r="AI20" s="8"/>
      <c r="AJ20" s="8"/>
      <c r="AK20" s="8"/>
      <c r="AL20" s="8"/>
      <c r="AM20" s="8"/>
    </row>
    <row r="21" spans="1:39" ht="15.75" customHeight="1">
      <c r="A21" s="3"/>
      <c r="B21" s="963"/>
      <c r="C21" s="20"/>
      <c r="D21" s="474" t="s">
        <v>213</v>
      </c>
      <c r="E21" s="481">
        <v>213</v>
      </c>
      <c r="F21" s="479">
        <v>1.5</v>
      </c>
      <c r="G21" s="477" t="s">
        <v>214</v>
      </c>
      <c r="H21" s="478">
        <v>0.79</v>
      </c>
      <c r="I21" s="478">
        <v>0.21</v>
      </c>
      <c r="J21" s="478">
        <v>0</v>
      </c>
      <c r="K21" s="478">
        <v>0</v>
      </c>
      <c r="L21" s="479">
        <f>(E21*H21*$H$8)+(E21*I21*$I$8)+(E21*J21*$J$8)+(E21*K21*$K$8)</f>
        <v>65.704835532567969</v>
      </c>
      <c r="M21" s="477" t="s">
        <v>215</v>
      </c>
      <c r="N21" s="480">
        <v>23.7</v>
      </c>
      <c r="O21" s="471"/>
      <c r="P21" s="19" t="s">
        <v>287</v>
      </c>
      <c r="Q21" s="19"/>
      <c r="R21" s="19"/>
      <c r="S21" s="20"/>
      <c r="T21" s="465" t="s">
        <v>390</v>
      </c>
      <c r="U21" s="469">
        <v>5.5793991416309016E-2</v>
      </c>
      <c r="V21" s="8"/>
      <c r="W21" s="8"/>
      <c r="X21" s="8"/>
      <c r="Y21" s="8"/>
      <c r="Z21" s="8"/>
      <c r="AA21" s="8"/>
      <c r="AB21" s="8"/>
      <c r="AC21" s="8"/>
      <c r="AD21" s="8"/>
      <c r="AE21" s="8"/>
      <c r="AF21" s="8"/>
      <c r="AG21" s="8"/>
      <c r="AH21" s="8"/>
      <c r="AI21" s="8"/>
      <c r="AJ21" s="8"/>
      <c r="AK21" s="8"/>
      <c r="AL21" s="8"/>
      <c r="AM21" s="8"/>
    </row>
    <row r="22" spans="1:39" ht="15.75" customHeight="1">
      <c r="A22" s="3"/>
      <c r="B22" s="963"/>
      <c r="C22" s="20"/>
      <c r="D22" s="474" t="s">
        <v>217</v>
      </c>
      <c r="E22" s="481">
        <v>302</v>
      </c>
      <c r="F22" s="479">
        <v>1.5</v>
      </c>
      <c r="G22" s="477" t="s">
        <v>210</v>
      </c>
      <c r="H22" s="478">
        <v>0.54</v>
      </c>
      <c r="I22" s="478">
        <v>0.44</v>
      </c>
      <c r="J22" s="478">
        <v>0</v>
      </c>
      <c r="K22" s="478">
        <v>0</v>
      </c>
      <c r="L22" s="479">
        <f>(E22*H22*$H$8)+(E22*I22*$I$8)+(E22*J22*$J$8)+(E22*K22*$K$8)</f>
        <v>74.494640164123396</v>
      </c>
      <c r="M22" s="477" t="s">
        <v>211</v>
      </c>
      <c r="N22" s="480">
        <v>215</v>
      </c>
      <c r="O22" s="471"/>
      <c r="P22" s="589" t="s">
        <v>1065</v>
      </c>
      <c r="Q22" s="311"/>
      <c r="R22" s="311"/>
      <c r="S22" s="20"/>
      <c r="T22" s="465"/>
      <c r="U22" s="465"/>
      <c r="V22" s="8"/>
      <c r="W22" s="8"/>
      <c r="X22" s="8"/>
      <c r="Y22" s="8"/>
      <c r="Z22" s="8"/>
      <c r="AA22" s="8"/>
      <c r="AB22" s="8"/>
      <c r="AC22" s="8"/>
      <c r="AD22" s="8"/>
      <c r="AE22" s="8"/>
      <c r="AF22" s="8"/>
      <c r="AG22" s="8"/>
      <c r="AH22" s="8"/>
      <c r="AI22" s="8"/>
      <c r="AJ22" s="8"/>
      <c r="AK22" s="8"/>
      <c r="AL22" s="8"/>
      <c r="AM22" s="8"/>
    </row>
    <row r="23" spans="1:39" ht="15.75" customHeight="1">
      <c r="A23" s="3"/>
      <c r="B23" s="963"/>
      <c r="C23" s="20"/>
      <c r="D23" s="474" t="s">
        <v>220</v>
      </c>
      <c r="E23" s="481">
        <v>225</v>
      </c>
      <c r="F23" s="479">
        <v>1.5</v>
      </c>
      <c r="G23" s="477" t="s">
        <v>214</v>
      </c>
      <c r="H23" s="478">
        <v>0.79</v>
      </c>
      <c r="I23" s="478">
        <v>0.21</v>
      </c>
      <c r="J23" s="478">
        <v>0</v>
      </c>
      <c r="K23" s="478">
        <v>0</v>
      </c>
      <c r="L23" s="479">
        <f t="shared" si="0"/>
        <v>69.406516407642229</v>
      </c>
      <c r="M23" s="477" t="s">
        <v>221</v>
      </c>
      <c r="N23" s="480">
        <v>23.7</v>
      </c>
      <c r="O23" s="471"/>
      <c r="P23" s="615" t="s">
        <v>1121</v>
      </c>
      <c r="Q23" s="19"/>
      <c r="R23" s="19"/>
      <c r="S23" s="20"/>
      <c r="T23" s="465" t="s">
        <v>149</v>
      </c>
      <c r="U23" s="470">
        <v>0.7</v>
      </c>
      <c r="V23" s="8"/>
      <c r="W23" s="8"/>
      <c r="X23" s="8"/>
      <c r="Y23" s="8"/>
      <c r="Z23" s="8"/>
      <c r="AA23" s="8"/>
      <c r="AB23" s="8"/>
      <c r="AC23" s="8"/>
      <c r="AD23" s="8"/>
      <c r="AE23" s="8"/>
      <c r="AF23" s="8"/>
      <c r="AG23" s="8"/>
      <c r="AH23" s="8"/>
      <c r="AI23" s="8"/>
      <c r="AJ23" s="8"/>
      <c r="AK23" s="8"/>
      <c r="AL23" s="8"/>
      <c r="AM23" s="8"/>
    </row>
    <row r="24" spans="1:39" ht="15.75" customHeight="1">
      <c r="A24" s="3"/>
      <c r="B24" s="963"/>
      <c r="C24" s="20"/>
      <c r="D24" s="474" t="s">
        <v>226</v>
      </c>
      <c r="E24" s="481">
        <v>351</v>
      </c>
      <c r="F24" s="479">
        <v>1.5</v>
      </c>
      <c r="G24" s="477" t="s">
        <v>210</v>
      </c>
      <c r="H24" s="478">
        <v>0.54</v>
      </c>
      <c r="I24" s="478">
        <v>0.44</v>
      </c>
      <c r="J24" s="478">
        <v>0</v>
      </c>
      <c r="K24" s="478">
        <v>0</v>
      </c>
      <c r="L24" s="479">
        <f t="shared" si="0"/>
        <v>86.581518866249382</v>
      </c>
      <c r="M24" s="477" t="s">
        <v>211</v>
      </c>
      <c r="N24" s="480">
        <v>215</v>
      </c>
      <c r="O24" s="471"/>
      <c r="P24" s="19"/>
      <c r="Q24" s="19"/>
      <c r="R24" s="19"/>
      <c r="S24" s="20"/>
      <c r="U24" s="591"/>
      <c r="V24" s="8"/>
      <c r="W24" s="8"/>
      <c r="X24" s="8"/>
      <c r="Y24" s="8"/>
      <c r="Z24" s="8"/>
      <c r="AA24" s="8"/>
      <c r="AB24" s="8"/>
      <c r="AC24" s="8"/>
      <c r="AD24" s="8"/>
      <c r="AE24" s="8"/>
      <c r="AF24" s="8"/>
      <c r="AG24" s="8"/>
      <c r="AH24" s="8"/>
      <c r="AI24" s="8"/>
      <c r="AJ24" s="8"/>
      <c r="AK24" s="8"/>
      <c r="AL24" s="8"/>
      <c r="AM24" s="8"/>
    </row>
    <row r="25" spans="1:39" ht="15.75" customHeight="1">
      <c r="A25" s="3"/>
      <c r="B25" s="963"/>
      <c r="C25" s="20"/>
      <c r="D25" s="474" t="s">
        <v>229</v>
      </c>
      <c r="E25" s="481">
        <v>370</v>
      </c>
      <c r="F25" s="479">
        <v>1.4</v>
      </c>
      <c r="G25" s="477" t="s">
        <v>230</v>
      </c>
      <c r="H25" s="478">
        <v>0.51</v>
      </c>
      <c r="I25" s="478">
        <v>0.37</v>
      </c>
      <c r="J25" s="478">
        <v>0.03</v>
      </c>
      <c r="K25" s="478">
        <v>0.09</v>
      </c>
      <c r="L25" s="479">
        <f t="shared" si="0"/>
        <v>89.967701042509859</v>
      </c>
      <c r="M25" s="477" t="s">
        <v>230</v>
      </c>
      <c r="N25" s="480">
        <v>49.6</v>
      </c>
      <c r="O25" s="471"/>
      <c r="P25" s="66" t="s">
        <v>293</v>
      </c>
      <c r="Q25" s="19"/>
      <c r="R25" s="19"/>
      <c r="S25" s="20"/>
      <c r="T25" s="20"/>
      <c r="U25" s="20"/>
      <c r="V25" s="8"/>
      <c r="W25" s="8"/>
      <c r="X25" s="8"/>
      <c r="Y25" s="8"/>
      <c r="Z25" s="8"/>
      <c r="AA25" s="8"/>
      <c r="AB25" s="8"/>
      <c r="AC25" s="8"/>
      <c r="AD25" s="8"/>
      <c r="AE25" s="8"/>
      <c r="AF25" s="8"/>
      <c r="AG25" s="8"/>
      <c r="AH25" s="8"/>
      <c r="AI25" s="8"/>
      <c r="AJ25" s="8"/>
      <c r="AK25" s="8"/>
      <c r="AL25" s="8"/>
      <c r="AM25" s="8"/>
    </row>
    <row r="26" spans="1:39" ht="15.75" customHeight="1">
      <c r="A26" s="3"/>
      <c r="B26" s="963"/>
      <c r="C26" s="20"/>
      <c r="D26" s="474" t="s">
        <v>232</v>
      </c>
      <c r="E26" s="481">
        <v>104</v>
      </c>
      <c r="F26" s="479">
        <v>1.3</v>
      </c>
      <c r="G26" s="477" t="s">
        <v>233</v>
      </c>
      <c r="H26" s="478">
        <v>0.56999999999999995</v>
      </c>
      <c r="I26" s="478">
        <v>0.28000000000000003</v>
      </c>
      <c r="J26" s="478">
        <v>0.01</v>
      </c>
      <c r="K26" s="478">
        <v>0.13</v>
      </c>
      <c r="L26" s="479">
        <f t="shared" si="0"/>
        <v>26.561995886286869</v>
      </c>
      <c r="M26" s="477" t="s">
        <v>182</v>
      </c>
      <c r="N26" s="480">
        <v>25.7</v>
      </c>
      <c r="O26" s="471"/>
      <c r="P26" s="22" t="str">
        <f>HYPERLINK("https://www.eia.gov/consumption/commercial/data/2012/c&amp;e/pdf/c1.pdf","CBECS: Energy Consumption by source 2012 ")</f>
        <v xml:space="preserve">CBECS: Energy Consumption by source 2012 </v>
      </c>
      <c r="Q26" s="19"/>
      <c r="R26" s="19"/>
      <c r="S26" s="20"/>
      <c r="T26" s="20"/>
      <c r="U26" s="20"/>
      <c r="V26" s="8"/>
      <c r="W26" s="8"/>
      <c r="X26" s="8"/>
      <c r="Y26" s="8"/>
      <c r="Z26" s="8"/>
      <c r="AA26" s="8"/>
      <c r="AB26" s="8"/>
      <c r="AC26" s="8"/>
      <c r="AD26" s="8"/>
      <c r="AE26" s="8"/>
      <c r="AF26" s="8"/>
      <c r="AG26" s="8"/>
      <c r="AH26" s="8"/>
      <c r="AI26" s="8"/>
      <c r="AJ26" s="8"/>
      <c r="AK26" s="8"/>
      <c r="AL26" s="8"/>
      <c r="AM26" s="8"/>
    </row>
    <row r="27" spans="1:39" ht="15.75" customHeight="1">
      <c r="A27" s="3"/>
      <c r="B27" s="963"/>
      <c r="C27" s="20"/>
      <c r="D27" s="474" t="s">
        <v>237</v>
      </c>
      <c r="E27" s="481">
        <v>94</v>
      </c>
      <c r="F27" s="479">
        <v>1</v>
      </c>
      <c r="G27" s="477" t="s">
        <v>238</v>
      </c>
      <c r="H27" s="478">
        <v>0.54</v>
      </c>
      <c r="I27" s="478">
        <v>0.39</v>
      </c>
      <c r="J27" s="478">
        <v>0.01</v>
      </c>
      <c r="K27" s="478">
        <v>0</v>
      </c>
      <c r="L27" s="479">
        <f t="shared" si="0"/>
        <v>22.770260134461736</v>
      </c>
      <c r="M27" s="477" t="s">
        <v>238</v>
      </c>
      <c r="N27" s="480">
        <v>41.7</v>
      </c>
      <c r="O27" s="471"/>
      <c r="P27" s="22" t="str">
        <f>HYPERLINK("https://www.eia.gov/consumption/residential/data/2015/c&amp;e/pdf/ce2.1.pdf","RECS: Annual household site fuel Consumption 2015")</f>
        <v>RECS: Annual household site fuel Consumption 2015</v>
      </c>
      <c r="Q27" s="19"/>
      <c r="R27" s="19"/>
      <c r="S27" s="20"/>
      <c r="T27" s="20"/>
      <c r="U27" s="20"/>
      <c r="V27" s="8"/>
      <c r="W27" s="8"/>
      <c r="X27" s="8"/>
      <c r="Y27" s="8"/>
      <c r="Z27" s="8"/>
      <c r="AA27" s="8"/>
      <c r="AB27" s="8"/>
      <c r="AC27" s="8"/>
      <c r="AD27" s="8"/>
      <c r="AE27" s="8"/>
      <c r="AF27" s="8"/>
      <c r="AG27" s="8"/>
      <c r="AH27" s="8"/>
      <c r="AI27" s="8"/>
      <c r="AJ27" s="8"/>
      <c r="AK27" s="8"/>
      <c r="AL27" s="8"/>
      <c r="AM27" s="8"/>
    </row>
    <row r="28" spans="1:39" ht="15.75" customHeight="1">
      <c r="A28" s="3"/>
      <c r="B28" s="963"/>
      <c r="C28" s="20"/>
      <c r="D28" s="474" t="s">
        <v>240</v>
      </c>
      <c r="E28" s="481">
        <v>89</v>
      </c>
      <c r="F28" s="479">
        <v>1</v>
      </c>
      <c r="G28" s="477" t="s">
        <v>238</v>
      </c>
      <c r="H28" s="478">
        <v>0.54</v>
      </c>
      <c r="I28" s="478">
        <v>0.39</v>
      </c>
      <c r="J28" s="478">
        <v>0.01</v>
      </c>
      <c r="K28" s="478">
        <v>0</v>
      </c>
      <c r="L28" s="479">
        <f t="shared" si="0"/>
        <v>21.559076084756324</v>
      </c>
      <c r="M28" s="477" t="s">
        <v>238</v>
      </c>
      <c r="N28" s="480">
        <v>41.7</v>
      </c>
      <c r="O28" s="471"/>
      <c r="P28" s="19"/>
      <c r="Q28" s="19"/>
      <c r="R28" s="19"/>
      <c r="S28" s="20"/>
      <c r="T28" s="20"/>
      <c r="U28" s="20"/>
      <c r="V28" s="8"/>
      <c r="W28" s="8"/>
      <c r="X28" s="8"/>
      <c r="Y28" s="8"/>
      <c r="Z28" s="8"/>
      <c r="AA28" s="8"/>
      <c r="AB28" s="8"/>
      <c r="AC28" s="8"/>
      <c r="AD28" s="8"/>
      <c r="AE28" s="8"/>
      <c r="AF28" s="8"/>
      <c r="AG28" s="8"/>
      <c r="AH28" s="8"/>
      <c r="AI28" s="8"/>
      <c r="AJ28" s="8"/>
      <c r="AK28" s="8"/>
      <c r="AL28" s="8"/>
      <c r="AM28" s="8"/>
    </row>
    <row r="29" spans="1:39" ht="15.75" customHeight="1">
      <c r="A29" s="3"/>
      <c r="B29" s="963"/>
      <c r="C29" s="20"/>
      <c r="D29" s="474" t="s">
        <v>244</v>
      </c>
      <c r="E29" s="481">
        <v>227</v>
      </c>
      <c r="F29" s="479">
        <v>1.2</v>
      </c>
      <c r="G29" s="477" t="s">
        <v>230</v>
      </c>
      <c r="H29" s="478">
        <v>0.51</v>
      </c>
      <c r="I29" s="478">
        <v>0.37</v>
      </c>
      <c r="J29" s="478">
        <v>0.03</v>
      </c>
      <c r="K29" s="478">
        <v>0.09</v>
      </c>
      <c r="L29" s="479">
        <f t="shared" si="0"/>
        <v>55.196400369323612</v>
      </c>
      <c r="M29" s="477" t="s">
        <v>230</v>
      </c>
      <c r="N29" s="480">
        <v>49.6</v>
      </c>
      <c r="O29" s="471"/>
      <c r="P29" s="66" t="s">
        <v>314</v>
      </c>
      <c r="Q29" s="19"/>
      <c r="R29" s="19"/>
      <c r="S29" s="20"/>
      <c r="T29" s="20"/>
      <c r="U29" s="20"/>
      <c r="V29" s="8"/>
      <c r="W29" s="8"/>
      <c r="X29" s="8"/>
      <c r="Y29" s="8"/>
      <c r="Z29" s="8"/>
      <c r="AA29" s="8"/>
      <c r="AB29" s="8"/>
      <c r="AC29" s="8"/>
      <c r="AD29" s="8"/>
      <c r="AE29" s="8"/>
      <c r="AF29" s="8"/>
      <c r="AG29" s="8"/>
      <c r="AH29" s="8"/>
      <c r="AI29" s="8"/>
      <c r="AJ29" s="8"/>
      <c r="AK29" s="8"/>
      <c r="AL29" s="8"/>
      <c r="AM29" s="8"/>
    </row>
    <row r="30" spans="1:39" ht="15.75" customHeight="1">
      <c r="A30" s="3"/>
      <c r="B30" s="963"/>
      <c r="C30" s="20"/>
      <c r="D30" s="474" t="s">
        <v>250</v>
      </c>
      <c r="E30" s="481">
        <v>59</v>
      </c>
      <c r="F30" s="479">
        <v>1</v>
      </c>
      <c r="G30" s="477" t="s">
        <v>251</v>
      </c>
      <c r="H30" s="478">
        <v>0.51</v>
      </c>
      <c r="I30" s="478">
        <v>0.37</v>
      </c>
      <c r="J30" s="478">
        <v>0.03</v>
      </c>
      <c r="K30" s="478">
        <v>0.09</v>
      </c>
      <c r="L30" s="479">
        <f t="shared" si="0"/>
        <v>14.346200977048868</v>
      </c>
      <c r="M30" s="477" t="s">
        <v>252</v>
      </c>
      <c r="N30" s="480">
        <v>15.6</v>
      </c>
      <c r="O30" s="471"/>
      <c r="P30" s="22" t="str">
        <f>HYPERLINK("https://www.eia.gov/environment/emissions/co2_vol_mass.php","Source: EIA carbon dioxide emissions coefficients table")</f>
        <v>Source: EIA carbon dioxide emissions coefficients table</v>
      </c>
      <c r="Q30" s="19"/>
      <c r="R30" s="19"/>
      <c r="S30" s="20"/>
      <c r="T30" s="20"/>
      <c r="U30" s="20"/>
      <c r="V30" s="8"/>
      <c r="W30" s="8"/>
      <c r="X30" s="8"/>
      <c r="Y30" s="8"/>
      <c r="Z30" s="8"/>
      <c r="AA30" s="8"/>
      <c r="AB30" s="8"/>
      <c r="AC30" s="8"/>
      <c r="AD30" s="8"/>
      <c r="AE30" s="8"/>
      <c r="AF30" s="8"/>
      <c r="AG30" s="8"/>
      <c r="AH30" s="8"/>
      <c r="AI30" s="8"/>
      <c r="AJ30" s="8"/>
      <c r="AK30" s="8"/>
      <c r="AL30" s="8"/>
      <c r="AM30" s="8"/>
    </row>
    <row r="31" spans="1:39" ht="15.75" customHeight="1">
      <c r="A31" s="3"/>
      <c r="B31" s="963"/>
      <c r="C31" s="20"/>
      <c r="D31" s="474" t="s">
        <v>254</v>
      </c>
      <c r="E31" s="481">
        <v>73</v>
      </c>
      <c r="F31" s="479">
        <v>1.2</v>
      </c>
      <c r="G31" s="477" t="s">
        <v>252</v>
      </c>
      <c r="H31" s="478">
        <v>0.67</v>
      </c>
      <c r="I31" s="478">
        <v>0.27</v>
      </c>
      <c r="J31" s="478">
        <v>0</v>
      </c>
      <c r="K31" s="478">
        <v>0</v>
      </c>
      <c r="L31" s="479">
        <f t="shared" si="0"/>
        <v>19.908506291335367</v>
      </c>
      <c r="M31" s="477" t="s">
        <v>252</v>
      </c>
      <c r="N31" s="480">
        <v>15.6</v>
      </c>
      <c r="O31" s="471"/>
      <c r="P31" s="19"/>
      <c r="Q31" s="19"/>
      <c r="R31" s="19"/>
      <c r="S31" s="20"/>
      <c r="T31" s="20"/>
      <c r="U31" s="20"/>
      <c r="V31" s="8"/>
      <c r="W31" s="8"/>
      <c r="X31" s="8"/>
      <c r="Y31" s="8"/>
      <c r="Z31" s="8"/>
      <c r="AA31" s="8"/>
      <c r="AB31" s="8"/>
      <c r="AC31" s="8"/>
      <c r="AD31" s="8"/>
      <c r="AE31" s="8"/>
      <c r="AF31" s="8"/>
      <c r="AG31" s="8"/>
      <c r="AH31" s="8"/>
      <c r="AI31" s="8"/>
      <c r="AJ31" s="8"/>
      <c r="AK31" s="8"/>
      <c r="AL31" s="8"/>
      <c r="AM31" s="8"/>
    </row>
    <row r="32" spans="1:39" ht="15.75" customHeight="1">
      <c r="A32" s="3"/>
      <c r="B32" s="963"/>
      <c r="C32" s="20"/>
      <c r="D32" s="474" t="s">
        <v>257</v>
      </c>
      <c r="E32" s="481">
        <v>52</v>
      </c>
      <c r="F32" s="479">
        <v>1.2</v>
      </c>
      <c r="G32" s="477" t="s">
        <v>233</v>
      </c>
      <c r="H32" s="478">
        <v>0.56999999999999995</v>
      </c>
      <c r="I32" s="478">
        <v>0.28000000000000003</v>
      </c>
      <c r="J32" s="478">
        <v>0.01</v>
      </c>
      <c r="K32" s="478">
        <v>0.13</v>
      </c>
      <c r="L32" s="479">
        <f t="shared" si="0"/>
        <v>13.280997943143435</v>
      </c>
      <c r="M32" s="477" t="s">
        <v>182</v>
      </c>
      <c r="N32" s="480">
        <v>25.7</v>
      </c>
      <c r="O32" s="471"/>
      <c r="P32" s="66" t="s">
        <v>329</v>
      </c>
      <c r="Q32" s="19"/>
      <c r="R32" s="19"/>
      <c r="S32" s="20"/>
      <c r="T32" s="20"/>
      <c r="U32" s="20"/>
      <c r="V32" s="8"/>
      <c r="W32" s="8"/>
      <c r="X32" s="8"/>
      <c r="Y32" s="8"/>
      <c r="Z32" s="8"/>
      <c r="AA32" s="8"/>
      <c r="AB32" s="8"/>
      <c r="AC32" s="8"/>
      <c r="AD32" s="8"/>
      <c r="AE32" s="8"/>
      <c r="AF32" s="8"/>
      <c r="AG32" s="8"/>
      <c r="AH32" s="8"/>
      <c r="AI32" s="8"/>
      <c r="AJ32" s="8"/>
      <c r="AK32" s="8"/>
      <c r="AL32" s="8"/>
      <c r="AM32" s="8"/>
    </row>
    <row r="33" spans="1:39" ht="15.75" customHeight="1">
      <c r="A33" s="3"/>
      <c r="B33" s="963"/>
      <c r="C33" s="20"/>
      <c r="D33" s="474" t="s">
        <v>266</v>
      </c>
      <c r="E33" s="481">
        <v>95</v>
      </c>
      <c r="F33" s="479">
        <v>1.6</v>
      </c>
      <c r="G33" s="477" t="s">
        <v>233</v>
      </c>
      <c r="H33" s="478">
        <v>0.56999999999999995</v>
      </c>
      <c r="I33" s="478">
        <v>0.28000000000000003</v>
      </c>
      <c r="J33" s="478">
        <v>0.01</v>
      </c>
      <c r="K33" s="478">
        <v>0.13</v>
      </c>
      <c r="L33" s="479">
        <f t="shared" si="0"/>
        <v>24.263361626896657</v>
      </c>
      <c r="M33" s="477" t="s">
        <v>182</v>
      </c>
      <c r="N33" s="480">
        <v>25.7</v>
      </c>
      <c r="O33" s="471"/>
      <c r="P33" s="22" t="str">
        <f>HYPERLINK("http://www.savetexaswater.org/resources/doc/Hoffman_Analysis_Muni_2016.pdf","**Source: Savetexaswater.org Analsysis")</f>
        <v>**Source: Savetexaswater.org Analsysis</v>
      </c>
      <c r="Q33" s="19"/>
      <c r="R33" s="19"/>
      <c r="S33" s="20"/>
      <c r="T33" s="20"/>
      <c r="U33" s="20"/>
      <c r="V33" s="8"/>
      <c r="W33" s="8"/>
      <c r="X33" s="8"/>
      <c r="Y33" s="8"/>
      <c r="Z33" s="8"/>
      <c r="AA33" s="8"/>
      <c r="AB33" s="8"/>
      <c r="AC33" s="8"/>
      <c r="AD33" s="8"/>
      <c r="AE33" s="8"/>
      <c r="AF33" s="8"/>
      <c r="AG33" s="8"/>
      <c r="AH33" s="8"/>
      <c r="AI33" s="8"/>
      <c r="AJ33" s="8"/>
      <c r="AK33" s="8"/>
      <c r="AL33" s="8"/>
      <c r="AM33" s="8"/>
    </row>
    <row r="34" spans="1:39" ht="15.75" customHeight="1">
      <c r="A34" s="3"/>
      <c r="B34" s="963"/>
      <c r="C34" s="20"/>
      <c r="D34" s="474" t="s">
        <v>270</v>
      </c>
      <c r="E34" s="481">
        <v>95</v>
      </c>
      <c r="F34" s="479">
        <v>1.6</v>
      </c>
      <c r="G34" s="477" t="s">
        <v>233</v>
      </c>
      <c r="H34" s="478">
        <v>0.56999999999999995</v>
      </c>
      <c r="I34" s="478">
        <v>0.28000000000000003</v>
      </c>
      <c r="J34" s="478">
        <v>0.01</v>
      </c>
      <c r="K34" s="478">
        <v>0.13</v>
      </c>
      <c r="L34" s="479">
        <f t="shared" si="0"/>
        <v>24.263361626896657</v>
      </c>
      <c r="M34" s="477" t="s">
        <v>182</v>
      </c>
      <c r="N34" s="480">
        <v>25.7</v>
      </c>
      <c r="O34" s="471"/>
      <c r="P34" s="22" t="str">
        <f>HYPERLINK("https://www.energystar.gov/sites/default/files/buildings/tools/DataTrends_Water_20121002.pdf","*Source: EPA Energy Start Data Trends")</f>
        <v>*Source: EPA Energy Start Data Trends</v>
      </c>
      <c r="Q34" s="19"/>
      <c r="R34" s="19"/>
      <c r="S34" s="20"/>
      <c r="T34" s="20"/>
      <c r="U34" s="20"/>
      <c r="V34" s="8"/>
      <c r="W34" s="8"/>
      <c r="X34" s="8"/>
      <c r="Y34" s="8"/>
      <c r="Z34" s="8"/>
      <c r="AA34" s="8"/>
      <c r="AB34" s="8"/>
      <c r="AC34" s="8"/>
      <c r="AD34" s="8"/>
      <c r="AE34" s="8"/>
      <c r="AF34" s="8"/>
      <c r="AG34" s="8"/>
      <c r="AH34" s="8"/>
      <c r="AI34" s="8"/>
      <c r="AJ34" s="8"/>
      <c r="AK34" s="8"/>
      <c r="AL34" s="8"/>
      <c r="AM34" s="8"/>
    </row>
    <row r="35" spans="1:39" ht="15.75" customHeight="1">
      <c r="A35" s="3"/>
      <c r="B35" s="963"/>
      <c r="C35" s="20"/>
      <c r="D35" s="474" t="s">
        <v>170</v>
      </c>
      <c r="E35" s="481">
        <v>90</v>
      </c>
      <c r="F35" s="479">
        <v>1</v>
      </c>
      <c r="G35" s="477" t="s">
        <v>170</v>
      </c>
      <c r="H35" s="478">
        <v>0.7</v>
      </c>
      <c r="I35" s="478">
        <v>0.23</v>
      </c>
      <c r="J35" s="478">
        <v>0.01</v>
      </c>
      <c r="K35" s="478">
        <v>0.06</v>
      </c>
      <c r="L35" s="479">
        <f t="shared" si="0"/>
        <v>25.874346216855763</v>
      </c>
      <c r="M35" s="477" t="s">
        <v>170</v>
      </c>
      <c r="N35" s="480">
        <v>14.6</v>
      </c>
      <c r="O35" s="471"/>
      <c r="P35" s="22" t="str">
        <f>HYPERLINK("https://www.eia.gov/consumption/commercial/reports/2012/water/pdf/users%20guide%20to%202012%20water%20public%20use.pdf","Source: CBECS Table W1. Water consumption 2012")</f>
        <v>Source: CBECS Table W1. Water consumption 2012</v>
      </c>
      <c r="Q35" s="19"/>
      <c r="R35" s="19"/>
      <c r="S35" s="20"/>
      <c r="T35" s="20"/>
      <c r="U35" s="20"/>
      <c r="V35" s="8"/>
      <c r="W35" s="8"/>
      <c r="X35" s="8"/>
      <c r="Y35" s="8"/>
      <c r="Z35" s="8"/>
      <c r="AA35" s="8"/>
      <c r="AB35" s="8"/>
      <c r="AC35" s="8"/>
      <c r="AD35" s="8"/>
      <c r="AE35" s="8"/>
      <c r="AF35" s="8"/>
      <c r="AG35" s="8"/>
      <c r="AH35" s="8"/>
      <c r="AI35" s="8"/>
      <c r="AJ35" s="8"/>
      <c r="AK35" s="8"/>
      <c r="AL35" s="8"/>
      <c r="AM35" s="8"/>
    </row>
    <row r="36" spans="1:39" ht="15.75" customHeight="1">
      <c r="A36" s="3"/>
      <c r="B36" s="963"/>
      <c r="C36" s="20"/>
      <c r="D36" s="474" t="s">
        <v>272</v>
      </c>
      <c r="E36" s="481">
        <v>95</v>
      </c>
      <c r="F36" s="479">
        <v>1.6</v>
      </c>
      <c r="G36" s="477" t="s">
        <v>233</v>
      </c>
      <c r="H36" s="478">
        <v>0.56999999999999995</v>
      </c>
      <c r="I36" s="478">
        <v>0.28000000000000003</v>
      </c>
      <c r="J36" s="478">
        <v>0.01</v>
      </c>
      <c r="K36" s="478">
        <v>0.13</v>
      </c>
      <c r="L36" s="479">
        <f t="shared" si="0"/>
        <v>24.263361626896657</v>
      </c>
      <c r="M36" s="477" t="s">
        <v>182</v>
      </c>
      <c r="N36" s="480">
        <v>25.7</v>
      </c>
      <c r="O36" s="471"/>
      <c r="P36" s="22" t="str">
        <f>HYPERLINK("https://www.epa.gov/watersense/how-we-use-water","Sources: EPA WaterSence - Residential Water Use ")</f>
        <v xml:space="preserve">Sources: EPA WaterSence - Residential Water Use </v>
      </c>
      <c r="Q36" s="19"/>
      <c r="R36" s="19"/>
      <c r="S36" s="20"/>
      <c r="T36" s="20"/>
      <c r="U36" s="20"/>
      <c r="V36" s="8"/>
      <c r="W36" s="8"/>
      <c r="X36" s="8"/>
      <c r="Y36" s="8"/>
      <c r="Z36" s="8"/>
      <c r="AA36" s="8"/>
      <c r="AB36" s="8"/>
      <c r="AC36" s="8"/>
      <c r="AD36" s="8"/>
      <c r="AE36" s="8"/>
      <c r="AF36" s="8"/>
      <c r="AG36" s="8"/>
      <c r="AH36" s="8"/>
      <c r="AI36" s="8"/>
      <c r="AJ36" s="8"/>
      <c r="AK36" s="8"/>
      <c r="AL36" s="8"/>
      <c r="AM36" s="8"/>
    </row>
    <row r="37" spans="1:39" ht="15.75" customHeight="1">
      <c r="A37" s="3"/>
      <c r="B37" s="963"/>
      <c r="C37" s="20"/>
      <c r="D37" s="474" t="s">
        <v>273</v>
      </c>
      <c r="E37" s="481">
        <v>66</v>
      </c>
      <c r="F37" s="479">
        <v>1.1000000000000001</v>
      </c>
      <c r="G37" s="477" t="s">
        <v>170</v>
      </c>
      <c r="H37" s="478">
        <v>0.7</v>
      </c>
      <c r="I37" s="478">
        <v>0.23</v>
      </c>
      <c r="J37" s="478">
        <v>0.01</v>
      </c>
      <c r="K37" s="478">
        <v>0.06</v>
      </c>
      <c r="L37" s="479">
        <f t="shared" si="0"/>
        <v>18.97452055902756</v>
      </c>
      <c r="M37" s="477" t="s">
        <v>170</v>
      </c>
      <c r="N37" s="480">
        <v>14.6</v>
      </c>
      <c r="O37" s="308"/>
      <c r="P37" s="22" t="str">
        <f>HYPERLINK("https://en.wikipedia.org/wiki/Nonresidential_water_use_in_the_U.S.#/media/File:WUI_metrics-benchmarks.png","EPA v CBECS Comparison")</f>
        <v>EPA v CBECS Comparison</v>
      </c>
      <c r="Q37" s="19"/>
      <c r="R37" s="19"/>
      <c r="S37" s="20"/>
      <c r="T37" s="20"/>
      <c r="U37" s="20"/>
      <c r="V37" s="8"/>
      <c r="W37" s="8"/>
      <c r="X37" s="8"/>
      <c r="Y37" s="8"/>
      <c r="Z37" s="8"/>
      <c r="AA37" s="8"/>
      <c r="AB37" s="8"/>
      <c r="AC37" s="8"/>
      <c r="AD37" s="8"/>
      <c r="AE37" s="8"/>
      <c r="AF37" s="8"/>
      <c r="AG37" s="8"/>
      <c r="AH37" s="8"/>
      <c r="AI37" s="8"/>
      <c r="AJ37" s="8"/>
      <c r="AK37" s="8"/>
      <c r="AL37" s="8"/>
      <c r="AM37" s="8"/>
    </row>
    <row r="38" spans="1:39" ht="15.75" customHeight="1">
      <c r="A38" s="3"/>
      <c r="B38" s="963"/>
      <c r="C38" s="20"/>
      <c r="D38" s="474" t="s">
        <v>182</v>
      </c>
      <c r="E38" s="481">
        <v>66</v>
      </c>
      <c r="F38" s="479">
        <v>1.1000000000000001</v>
      </c>
      <c r="G38" s="477" t="s">
        <v>233</v>
      </c>
      <c r="H38" s="478">
        <v>0.56999999999999995</v>
      </c>
      <c r="I38" s="478">
        <v>0.28000000000000003</v>
      </c>
      <c r="J38" s="478">
        <v>0.01</v>
      </c>
      <c r="K38" s="478">
        <v>0.13</v>
      </c>
      <c r="L38" s="479">
        <f t="shared" si="0"/>
        <v>16.856651235528204</v>
      </c>
      <c r="M38" s="477" t="s">
        <v>182</v>
      </c>
      <c r="N38" s="480">
        <v>25.7</v>
      </c>
      <c r="O38" s="308"/>
      <c r="P38" s="20"/>
      <c r="Q38" s="20"/>
      <c r="R38" s="20"/>
      <c r="S38" s="20"/>
      <c r="T38" s="20"/>
      <c r="U38" s="20"/>
      <c r="V38" s="8"/>
      <c r="W38" s="8"/>
      <c r="X38" s="8"/>
      <c r="Y38" s="8"/>
      <c r="Z38" s="8"/>
      <c r="AA38" s="8"/>
      <c r="AB38" s="8"/>
      <c r="AC38" s="8"/>
      <c r="AD38" s="8"/>
      <c r="AE38" s="8"/>
      <c r="AF38" s="8"/>
      <c r="AG38" s="8"/>
      <c r="AH38" s="8"/>
      <c r="AI38" s="8"/>
      <c r="AJ38" s="8"/>
      <c r="AK38" s="8"/>
      <c r="AL38" s="8"/>
      <c r="AM38" s="8"/>
    </row>
    <row r="39" spans="1:39" ht="15.75" customHeight="1">
      <c r="A39" s="3"/>
      <c r="B39" s="963"/>
      <c r="C39" s="20"/>
      <c r="D39" s="474" t="s">
        <v>278</v>
      </c>
      <c r="E39" s="481">
        <v>90</v>
      </c>
      <c r="F39" s="479">
        <v>1</v>
      </c>
      <c r="G39" s="477" t="s">
        <v>279</v>
      </c>
      <c r="H39" s="478">
        <v>0.55000000000000004</v>
      </c>
      <c r="I39" s="478">
        <v>0.31</v>
      </c>
      <c r="J39" s="478">
        <v>0.02</v>
      </c>
      <c r="K39" s="478">
        <v>0</v>
      </c>
      <c r="L39" s="479">
        <f t="shared" si="0"/>
        <v>21.398562755445255</v>
      </c>
      <c r="M39" s="477" t="s">
        <v>280</v>
      </c>
      <c r="N39" s="480">
        <v>42.1</v>
      </c>
      <c r="O39" s="471"/>
      <c r="P39" s="20"/>
      <c r="Q39" s="20"/>
      <c r="R39" s="20"/>
      <c r="S39" s="20"/>
      <c r="T39" s="20"/>
      <c r="U39" s="20"/>
      <c r="V39" s="8"/>
      <c r="W39" s="8"/>
      <c r="X39" s="8"/>
      <c r="Y39" s="8"/>
      <c r="Z39" s="8"/>
      <c r="AA39" s="8"/>
      <c r="AB39" s="8"/>
      <c r="AC39" s="8"/>
      <c r="AD39" s="8"/>
      <c r="AE39" s="8"/>
      <c r="AF39" s="8"/>
      <c r="AG39" s="8"/>
      <c r="AH39" s="8"/>
      <c r="AI39" s="8"/>
      <c r="AJ39" s="8"/>
      <c r="AK39" s="8"/>
      <c r="AL39" s="8"/>
      <c r="AM39" s="8"/>
    </row>
    <row r="40" spans="1:39" ht="15.75" customHeight="1">
      <c r="A40" s="3"/>
      <c r="B40" s="963"/>
      <c r="C40" s="20"/>
      <c r="D40" s="474" t="s">
        <v>282</v>
      </c>
      <c r="E40" s="481">
        <v>66</v>
      </c>
      <c r="F40" s="479">
        <v>1.1000000000000001</v>
      </c>
      <c r="G40" s="477" t="s">
        <v>233</v>
      </c>
      <c r="H40" s="478">
        <v>0.56999999999999995</v>
      </c>
      <c r="I40" s="478">
        <v>0.28000000000000003</v>
      </c>
      <c r="J40" s="478">
        <v>0.01</v>
      </c>
      <c r="K40" s="478">
        <v>0.13</v>
      </c>
      <c r="L40" s="479">
        <f t="shared" si="0"/>
        <v>16.856651235528204</v>
      </c>
      <c r="M40" s="477" t="s">
        <v>182</v>
      </c>
      <c r="N40" s="480">
        <v>25.7</v>
      </c>
      <c r="O40" s="471"/>
      <c r="P40" s="20"/>
      <c r="Q40" s="20"/>
      <c r="R40" s="20"/>
      <c r="S40" s="20"/>
      <c r="T40" s="20"/>
      <c r="U40" s="20"/>
      <c r="V40" s="8"/>
      <c r="W40" s="8"/>
      <c r="X40" s="8"/>
      <c r="Y40" s="8"/>
      <c r="Z40" s="8"/>
      <c r="AA40" s="8"/>
      <c r="AB40" s="8"/>
      <c r="AC40" s="8"/>
      <c r="AD40" s="8"/>
      <c r="AE40" s="8"/>
      <c r="AF40" s="8"/>
      <c r="AG40" s="8"/>
      <c r="AH40" s="8"/>
      <c r="AI40" s="8"/>
      <c r="AJ40" s="8"/>
      <c r="AK40" s="8"/>
      <c r="AL40" s="8"/>
      <c r="AM40" s="8"/>
    </row>
    <row r="41" spans="1:39" ht="15.75" customHeight="1">
      <c r="A41" s="3"/>
      <c r="B41" s="20"/>
      <c r="C41" s="20"/>
      <c r="D41" s="474" t="s">
        <v>284</v>
      </c>
      <c r="E41" s="481">
        <v>46</v>
      </c>
      <c r="F41" s="479">
        <v>1.3</v>
      </c>
      <c r="G41" s="477" t="s">
        <v>285</v>
      </c>
      <c r="H41" s="478">
        <v>0.47</v>
      </c>
      <c r="I41" s="478">
        <v>0.5</v>
      </c>
      <c r="J41" s="478">
        <v>0.03</v>
      </c>
      <c r="K41" s="478">
        <v>0</v>
      </c>
      <c r="L41" s="479">
        <f t="shared" si="0"/>
        <v>10.748091587842611</v>
      </c>
      <c r="M41" s="477" t="s">
        <v>286</v>
      </c>
      <c r="N41" s="480">
        <v>7.3</v>
      </c>
      <c r="O41" s="471"/>
      <c r="P41" s="20"/>
      <c r="Q41" s="20"/>
      <c r="R41" s="20"/>
      <c r="S41" s="20"/>
      <c r="T41" s="20"/>
      <c r="U41" s="20"/>
      <c r="V41" s="8"/>
      <c r="W41" s="8"/>
      <c r="X41" s="8"/>
      <c r="Y41" s="8"/>
      <c r="Z41" s="8"/>
      <c r="AA41" s="8"/>
      <c r="AB41" s="8"/>
      <c r="AC41" s="8"/>
      <c r="AD41" s="8"/>
      <c r="AE41" s="8"/>
      <c r="AF41" s="8"/>
      <c r="AG41" s="8"/>
      <c r="AH41" s="8"/>
      <c r="AI41" s="8"/>
      <c r="AJ41" s="8"/>
      <c r="AK41" s="8"/>
      <c r="AL41" s="8"/>
      <c r="AM41" s="8"/>
    </row>
    <row r="42" spans="1:39" ht="15.75" customHeight="1">
      <c r="A42" s="3"/>
      <c r="B42" s="20"/>
      <c r="C42" s="20"/>
      <c r="D42" s="474" t="s">
        <v>289</v>
      </c>
      <c r="E42" s="481">
        <v>124</v>
      </c>
      <c r="F42" s="479">
        <v>1</v>
      </c>
      <c r="G42" s="477" t="s">
        <v>290</v>
      </c>
      <c r="H42" s="478">
        <v>0.6</v>
      </c>
      <c r="I42" s="478">
        <v>0.35</v>
      </c>
      <c r="J42" s="478">
        <v>0.05</v>
      </c>
      <c r="K42" s="478">
        <v>0</v>
      </c>
      <c r="L42" s="479">
        <f t="shared" si="0"/>
        <v>32.901124408707382</v>
      </c>
      <c r="M42" s="477" t="s">
        <v>291</v>
      </c>
      <c r="N42" s="480">
        <v>60.2</v>
      </c>
      <c r="O42" s="471"/>
      <c r="P42" s="20"/>
      <c r="Q42" s="20"/>
      <c r="R42" s="20"/>
      <c r="S42" s="20"/>
      <c r="T42" s="20"/>
      <c r="U42" s="20"/>
      <c r="V42" s="8"/>
      <c r="W42" s="8"/>
      <c r="X42" s="8"/>
      <c r="Y42" s="8"/>
      <c r="Z42" s="8"/>
      <c r="AA42" s="8"/>
      <c r="AB42" s="8"/>
      <c r="AC42" s="8"/>
      <c r="AD42" s="8"/>
      <c r="AE42" s="8"/>
      <c r="AF42" s="8"/>
      <c r="AG42" s="8"/>
      <c r="AH42" s="8"/>
      <c r="AI42" s="8"/>
      <c r="AJ42" s="8"/>
      <c r="AK42" s="8"/>
      <c r="AL42" s="8"/>
      <c r="AM42" s="8"/>
    </row>
    <row r="43" spans="1:39" ht="15.75" customHeight="1">
      <c r="A43" s="3"/>
      <c r="B43" s="20"/>
      <c r="C43" s="20"/>
      <c r="D43" s="474" t="s">
        <v>292</v>
      </c>
      <c r="E43" s="481">
        <v>79</v>
      </c>
      <c r="F43" s="479">
        <v>0.7</v>
      </c>
      <c r="G43" s="477" t="s">
        <v>290</v>
      </c>
      <c r="H43" s="478">
        <v>0.6</v>
      </c>
      <c r="I43" s="478">
        <v>0.35</v>
      </c>
      <c r="J43" s="478">
        <v>0.05</v>
      </c>
      <c r="K43" s="478">
        <v>0</v>
      </c>
      <c r="L43" s="479">
        <f t="shared" si="0"/>
        <v>20.961200228128092</v>
      </c>
      <c r="M43" s="477" t="s">
        <v>274</v>
      </c>
      <c r="N43" s="480">
        <v>42</v>
      </c>
      <c r="O43" s="471"/>
      <c r="P43" s="20"/>
      <c r="Q43" s="20"/>
      <c r="R43" s="20"/>
      <c r="S43" s="20"/>
      <c r="T43" s="20"/>
      <c r="U43" s="20"/>
      <c r="V43" s="8"/>
      <c r="W43" s="8"/>
      <c r="X43" s="8"/>
      <c r="Y43" s="8"/>
      <c r="Z43" s="8"/>
      <c r="AA43" s="8"/>
      <c r="AB43" s="8"/>
      <c r="AC43" s="8"/>
      <c r="AD43" s="8"/>
      <c r="AE43" s="8"/>
      <c r="AF43" s="8"/>
      <c r="AG43" s="8"/>
      <c r="AH43" s="8"/>
      <c r="AI43" s="8"/>
      <c r="AJ43" s="8"/>
      <c r="AK43" s="8"/>
      <c r="AL43" s="8"/>
      <c r="AM43" s="8"/>
    </row>
    <row r="44" spans="1:39" ht="15.75" customHeight="1">
      <c r="A44" s="3"/>
      <c r="B44" s="20"/>
      <c r="C44" s="20"/>
      <c r="D44" s="474" t="s">
        <v>294</v>
      </c>
      <c r="E44" s="481">
        <v>47</v>
      </c>
      <c r="F44" s="479">
        <v>1.5</v>
      </c>
      <c r="G44" s="477" t="s">
        <v>295</v>
      </c>
      <c r="H44" s="478">
        <v>0.77</v>
      </c>
      <c r="I44" s="478">
        <v>0.2</v>
      </c>
      <c r="J44" s="478">
        <v>0.02</v>
      </c>
      <c r="K44" s="478">
        <v>0</v>
      </c>
      <c r="L44" s="479">
        <f t="shared" si="0"/>
        <v>14.255620229429008</v>
      </c>
      <c r="M44" s="477" t="s">
        <v>296</v>
      </c>
      <c r="N44" s="480">
        <v>8</v>
      </c>
      <c r="O44" s="471"/>
      <c r="P44" s="20"/>
      <c r="Q44" s="20"/>
      <c r="R44" s="20"/>
      <c r="S44" s="20"/>
      <c r="T44" s="20"/>
      <c r="U44" s="20"/>
      <c r="V44" s="8"/>
      <c r="W44" s="8"/>
      <c r="X44" s="8"/>
      <c r="Y44" s="8"/>
      <c r="Z44" s="8"/>
      <c r="AA44" s="8"/>
      <c r="AB44" s="8"/>
      <c r="AC44" s="8"/>
      <c r="AD44" s="8"/>
      <c r="AE44" s="8"/>
      <c r="AF44" s="8"/>
      <c r="AG44" s="8"/>
      <c r="AH44" s="8"/>
      <c r="AI44" s="8"/>
      <c r="AJ44" s="8"/>
      <c r="AK44" s="8"/>
      <c r="AL44" s="8"/>
      <c r="AM44" s="8"/>
    </row>
    <row r="45" spans="1:39" ht="15.75" customHeight="1">
      <c r="A45" s="3"/>
      <c r="B45" s="20"/>
      <c r="C45" s="20"/>
      <c r="D45" s="474" t="s">
        <v>304</v>
      </c>
      <c r="E45" s="481">
        <v>192</v>
      </c>
      <c r="F45" s="479">
        <v>1.5</v>
      </c>
      <c r="G45" s="477" t="s">
        <v>295</v>
      </c>
      <c r="H45" s="478">
        <v>0.77</v>
      </c>
      <c r="I45" s="478">
        <v>0.2</v>
      </c>
      <c r="J45" s="478">
        <v>0.02</v>
      </c>
      <c r="K45" s="478">
        <v>0</v>
      </c>
      <c r="L45" s="479">
        <f t="shared" si="0"/>
        <v>58.235725192561056</v>
      </c>
      <c r="M45" s="477" t="s">
        <v>296</v>
      </c>
      <c r="N45" s="480">
        <v>8</v>
      </c>
      <c r="O45" s="471"/>
      <c r="P45" s="20"/>
      <c r="Q45" s="20"/>
      <c r="R45" s="20"/>
      <c r="S45" s="20"/>
      <c r="T45" s="20"/>
      <c r="U45" s="20"/>
      <c r="V45" s="8"/>
      <c r="W45" s="8"/>
      <c r="X45" s="8"/>
      <c r="Y45" s="8"/>
      <c r="Z45" s="8"/>
      <c r="AA45" s="8"/>
      <c r="AB45" s="8"/>
      <c r="AC45" s="8"/>
      <c r="AD45" s="8"/>
      <c r="AE45" s="8"/>
      <c r="AF45" s="8"/>
      <c r="AG45" s="8"/>
      <c r="AH45" s="8"/>
      <c r="AI45" s="8"/>
      <c r="AJ45" s="8"/>
      <c r="AK45" s="8"/>
      <c r="AL45" s="8"/>
      <c r="AM45" s="8"/>
    </row>
    <row r="46" spans="1:39" ht="15.75" customHeight="1">
      <c r="A46" s="3"/>
      <c r="B46" s="20"/>
      <c r="C46" s="20"/>
      <c r="D46" s="474" t="s">
        <v>311</v>
      </c>
      <c r="E46" s="481">
        <v>72</v>
      </c>
      <c r="F46" s="479">
        <v>1.5</v>
      </c>
      <c r="G46" s="477" t="s">
        <v>295</v>
      </c>
      <c r="H46" s="478">
        <v>0.77</v>
      </c>
      <c r="I46" s="478">
        <v>0.2</v>
      </c>
      <c r="J46" s="478">
        <v>0.02</v>
      </c>
      <c r="K46" s="478">
        <v>0</v>
      </c>
      <c r="L46" s="479">
        <f t="shared" si="0"/>
        <v>21.838396947210395</v>
      </c>
      <c r="M46" s="477" t="s">
        <v>296</v>
      </c>
      <c r="N46" s="480">
        <v>8</v>
      </c>
      <c r="O46" s="471"/>
      <c r="P46" s="20"/>
      <c r="Q46" s="20"/>
      <c r="R46" s="20"/>
      <c r="S46" s="20"/>
      <c r="T46" s="20"/>
      <c r="U46" s="20"/>
      <c r="V46" s="8"/>
      <c r="W46" s="8"/>
      <c r="X46" s="8"/>
      <c r="Y46" s="8"/>
      <c r="Z46" s="8"/>
      <c r="AA46" s="8"/>
      <c r="AB46" s="8"/>
      <c r="AC46" s="8"/>
      <c r="AD46" s="8"/>
      <c r="AE46" s="8"/>
      <c r="AF46" s="8"/>
      <c r="AG46" s="8"/>
      <c r="AH46" s="8"/>
      <c r="AI46" s="8"/>
      <c r="AJ46" s="8"/>
      <c r="AK46" s="8"/>
      <c r="AL46" s="8"/>
      <c r="AM46" s="8"/>
    </row>
    <row r="47" spans="1:39" ht="15.75" customHeight="1">
      <c r="A47" s="3"/>
      <c r="B47" s="20"/>
      <c r="C47" s="20"/>
      <c r="D47" s="474" t="s">
        <v>313</v>
      </c>
      <c r="E47" s="481">
        <v>107</v>
      </c>
      <c r="F47" s="479">
        <v>1.5</v>
      </c>
      <c r="G47" s="477" t="s">
        <v>247</v>
      </c>
      <c r="H47" s="478">
        <v>0.66</v>
      </c>
      <c r="I47" s="478">
        <v>0.34</v>
      </c>
      <c r="J47" s="478">
        <v>0</v>
      </c>
      <c r="K47" s="478">
        <v>0</v>
      </c>
      <c r="L47" s="479">
        <f t="shared" si="0"/>
        <v>29.702409149331611</v>
      </c>
      <c r="M47" s="477" t="s">
        <v>247</v>
      </c>
      <c r="N47" s="480">
        <v>11.8</v>
      </c>
      <c r="O47" s="471"/>
      <c r="P47" s="20"/>
      <c r="Q47" s="20"/>
      <c r="R47" s="20"/>
      <c r="S47" s="20"/>
      <c r="T47" s="20"/>
      <c r="U47" s="20"/>
      <c r="V47" s="8"/>
      <c r="W47" s="8"/>
      <c r="X47" s="8"/>
      <c r="Y47" s="8"/>
      <c r="Z47" s="8"/>
      <c r="AA47" s="8"/>
      <c r="AB47" s="8"/>
      <c r="AC47" s="8"/>
      <c r="AD47" s="8"/>
      <c r="AE47" s="8"/>
      <c r="AF47" s="8"/>
      <c r="AG47" s="8"/>
      <c r="AH47" s="8"/>
      <c r="AI47" s="8"/>
      <c r="AJ47" s="8"/>
      <c r="AK47" s="8"/>
      <c r="AL47" s="8"/>
      <c r="AM47" s="8"/>
    </row>
    <row r="48" spans="1:39" ht="15.75" customHeight="1">
      <c r="A48" s="3"/>
      <c r="B48" s="20"/>
      <c r="C48" s="20"/>
      <c r="D48" s="474" t="s">
        <v>316</v>
      </c>
      <c r="E48" s="481">
        <v>31</v>
      </c>
      <c r="F48" s="479">
        <v>0.8</v>
      </c>
      <c r="G48" s="477" t="s">
        <v>318</v>
      </c>
      <c r="H48" s="478">
        <v>0.66</v>
      </c>
      <c r="I48" s="478">
        <v>0.32</v>
      </c>
      <c r="J48" s="478">
        <v>0</v>
      </c>
      <c r="K48" s="478">
        <v>0</v>
      </c>
      <c r="L48" s="479">
        <f t="shared" si="0"/>
        <v>8.5304667059200003</v>
      </c>
      <c r="M48" s="477" t="s">
        <v>318</v>
      </c>
      <c r="N48" s="480">
        <v>3.4</v>
      </c>
      <c r="O48" s="471"/>
      <c r="P48" s="20"/>
      <c r="Q48" s="20"/>
      <c r="R48" s="20"/>
      <c r="S48" s="20"/>
      <c r="T48" s="20"/>
      <c r="U48" s="20"/>
      <c r="V48" s="8"/>
      <c r="W48" s="8"/>
      <c r="X48" s="8"/>
      <c r="Y48" s="8"/>
      <c r="Z48" s="8"/>
      <c r="AA48" s="8"/>
      <c r="AB48" s="8"/>
      <c r="AC48" s="8"/>
      <c r="AD48" s="8"/>
      <c r="AE48" s="8"/>
      <c r="AF48" s="8"/>
      <c r="AG48" s="8"/>
      <c r="AH48" s="8"/>
      <c r="AI48" s="8"/>
      <c r="AJ48" s="8"/>
      <c r="AK48" s="8"/>
      <c r="AL48" s="8"/>
      <c r="AM48" s="8"/>
    </row>
    <row r="49" spans="1:39" ht="15.75" customHeight="1">
      <c r="A49" s="3"/>
      <c r="B49" s="20"/>
      <c r="C49" s="20"/>
      <c r="D49" s="474" t="s">
        <v>326</v>
      </c>
      <c r="E49" s="481">
        <v>77</v>
      </c>
      <c r="F49" s="479">
        <v>1.4</v>
      </c>
      <c r="G49" s="477" t="s">
        <v>327</v>
      </c>
      <c r="H49" s="478">
        <v>0.47</v>
      </c>
      <c r="I49" s="478">
        <v>0.45</v>
      </c>
      <c r="J49" s="478">
        <v>0.06</v>
      </c>
      <c r="K49" s="478">
        <v>0</v>
      </c>
      <c r="L49" s="479">
        <f t="shared" si="0"/>
        <v>17.897335657241957</v>
      </c>
      <c r="M49" s="477" t="s">
        <v>265</v>
      </c>
      <c r="N49" s="480">
        <v>12.6</v>
      </c>
      <c r="O49" s="471"/>
      <c r="P49" s="20"/>
      <c r="Q49" s="20"/>
      <c r="R49" s="20"/>
      <c r="S49" s="20"/>
      <c r="T49" s="20"/>
      <c r="U49" s="20"/>
      <c r="V49" s="8"/>
      <c r="W49" s="8"/>
      <c r="X49" s="8"/>
      <c r="Y49" s="8"/>
      <c r="Z49" s="8"/>
      <c r="AA49" s="8"/>
      <c r="AB49" s="8"/>
      <c r="AC49" s="8"/>
      <c r="AD49" s="8"/>
      <c r="AE49" s="8"/>
      <c r="AF49" s="8"/>
      <c r="AG49" s="8"/>
      <c r="AH49" s="8"/>
      <c r="AI49" s="8"/>
      <c r="AJ49" s="8"/>
      <c r="AK49" s="8"/>
      <c r="AL49" s="8"/>
      <c r="AM49" s="8"/>
    </row>
    <row r="50" spans="1:39" ht="15.75" customHeight="1">
      <c r="A50" s="3"/>
      <c r="B50" s="20"/>
      <c r="C50" s="20"/>
      <c r="D50" s="474" t="s">
        <v>328</v>
      </c>
      <c r="E50" s="481">
        <v>26</v>
      </c>
      <c r="F50" s="479">
        <v>0.8</v>
      </c>
      <c r="G50" s="477" t="s">
        <v>318</v>
      </c>
      <c r="H50" s="478">
        <v>0.66</v>
      </c>
      <c r="I50" s="478">
        <v>0.32</v>
      </c>
      <c r="J50" s="478">
        <v>0</v>
      </c>
      <c r="K50" s="478">
        <v>0</v>
      </c>
      <c r="L50" s="479">
        <f t="shared" si="0"/>
        <v>7.1545849791587095</v>
      </c>
      <c r="M50" s="477" t="s">
        <v>318</v>
      </c>
      <c r="N50" s="480">
        <v>3.4</v>
      </c>
      <c r="O50" s="471"/>
      <c r="P50" s="20"/>
      <c r="Q50" s="20"/>
      <c r="R50" s="20"/>
      <c r="S50" s="20"/>
      <c r="T50" s="20"/>
      <c r="U50" s="20"/>
      <c r="V50" s="8"/>
      <c r="W50" s="8"/>
      <c r="X50" s="8"/>
      <c r="Y50" s="8"/>
      <c r="Z50" s="8"/>
      <c r="AA50" s="8"/>
      <c r="AB50" s="8"/>
      <c r="AC50" s="8"/>
      <c r="AD50" s="8"/>
      <c r="AE50" s="8"/>
      <c r="AF50" s="8"/>
      <c r="AG50" s="8"/>
      <c r="AH50" s="8"/>
      <c r="AI50" s="8"/>
      <c r="AJ50" s="8"/>
      <c r="AK50" s="8"/>
      <c r="AL50" s="8"/>
      <c r="AM50" s="8"/>
    </row>
    <row r="51" spans="1:39" ht="15.75" customHeight="1" thickBot="1">
      <c r="A51" s="3"/>
      <c r="B51" s="20"/>
      <c r="C51" s="20"/>
      <c r="D51" s="482" t="s">
        <v>335</v>
      </c>
      <c r="E51" s="483">
        <v>127</v>
      </c>
      <c r="F51" s="484">
        <v>0.8</v>
      </c>
      <c r="G51" s="485" t="s">
        <v>318</v>
      </c>
      <c r="H51" s="486">
        <v>0.66</v>
      </c>
      <c r="I51" s="486">
        <v>0.32</v>
      </c>
      <c r="J51" s="486">
        <v>0</v>
      </c>
      <c r="K51" s="486">
        <v>0</v>
      </c>
      <c r="L51" s="487">
        <f t="shared" si="0"/>
        <v>34.947395859736773</v>
      </c>
      <c r="M51" s="485" t="s">
        <v>318</v>
      </c>
      <c r="N51" s="488">
        <v>3.4</v>
      </c>
      <c r="O51" s="471"/>
      <c r="P51" s="20"/>
      <c r="Q51" s="20"/>
      <c r="R51" s="20"/>
      <c r="S51" s="20"/>
      <c r="T51" s="20"/>
      <c r="U51" s="20"/>
      <c r="V51" s="8"/>
      <c r="W51" s="8"/>
      <c r="X51" s="8"/>
      <c r="Y51" s="8"/>
      <c r="Z51" s="8"/>
      <c r="AA51" s="8"/>
      <c r="AB51" s="8"/>
      <c r="AC51" s="8"/>
      <c r="AD51" s="8"/>
      <c r="AE51" s="8"/>
      <c r="AF51" s="8"/>
      <c r="AG51" s="8"/>
      <c r="AH51" s="8"/>
      <c r="AI51" s="8"/>
      <c r="AJ51" s="8"/>
      <c r="AK51" s="8"/>
      <c r="AL51" s="8"/>
      <c r="AM51" s="8"/>
    </row>
    <row r="52" spans="1:39" ht="15.75" customHeight="1">
      <c r="A52" s="3"/>
      <c r="B52" s="20"/>
      <c r="C52" s="20"/>
      <c r="D52" s="20"/>
      <c r="E52" s="20"/>
      <c r="F52" s="20"/>
      <c r="G52" s="20"/>
      <c r="H52" s="20"/>
      <c r="I52" s="20"/>
      <c r="J52" s="20"/>
      <c r="K52" s="20"/>
      <c r="L52" s="20"/>
      <c r="M52" s="20"/>
      <c r="N52" s="20"/>
      <c r="O52" s="20"/>
      <c r="P52" s="20"/>
      <c r="Q52" s="20"/>
      <c r="R52" s="20"/>
      <c r="S52" s="20"/>
      <c r="T52" s="20"/>
      <c r="U52" s="20"/>
      <c r="V52" s="8"/>
      <c r="W52" s="8"/>
      <c r="X52" s="8"/>
      <c r="Y52" s="8"/>
      <c r="Z52" s="8"/>
      <c r="AA52" s="8"/>
      <c r="AB52" s="8"/>
      <c r="AC52" s="8"/>
      <c r="AD52" s="8"/>
      <c r="AE52" s="8"/>
      <c r="AF52" s="8"/>
      <c r="AG52" s="8"/>
      <c r="AH52" s="8"/>
      <c r="AI52" s="8"/>
      <c r="AJ52" s="8"/>
      <c r="AK52" s="8"/>
      <c r="AL52" s="8"/>
      <c r="AM52" s="8"/>
    </row>
    <row r="53" spans="1:39" ht="15.75" customHeight="1">
      <c r="A53" s="3"/>
      <c r="B53" s="20"/>
      <c r="C53" s="20"/>
      <c r="D53" s="20"/>
      <c r="E53" s="20"/>
      <c r="F53" s="20"/>
      <c r="G53" s="20"/>
      <c r="H53" s="20"/>
      <c r="I53" s="20"/>
      <c r="J53" s="20"/>
      <c r="K53" s="20"/>
      <c r="L53" s="20"/>
      <c r="M53" s="20"/>
      <c r="N53" s="20"/>
      <c r="O53" s="20"/>
      <c r="P53" s="20"/>
      <c r="Q53" s="20"/>
      <c r="R53" s="20"/>
      <c r="S53" s="20"/>
      <c r="T53" s="20"/>
      <c r="U53" s="20"/>
      <c r="V53" s="8"/>
      <c r="W53" s="8"/>
      <c r="X53" s="8"/>
      <c r="Y53" s="8"/>
      <c r="Z53" s="8"/>
      <c r="AA53" s="8"/>
      <c r="AB53" s="8"/>
      <c r="AC53" s="8"/>
      <c r="AD53" s="8"/>
      <c r="AE53" s="8"/>
      <c r="AF53" s="8"/>
      <c r="AG53" s="8"/>
      <c r="AH53" s="8"/>
      <c r="AI53" s="8"/>
      <c r="AJ53" s="8"/>
      <c r="AK53" s="8"/>
      <c r="AL53" s="8"/>
      <c r="AM53" s="8"/>
    </row>
    <row r="54" spans="1:39" ht="15.75" customHeight="1">
      <c r="A54" s="3"/>
      <c r="B54" s="20"/>
      <c r="C54" s="20"/>
      <c r="D54" s="20"/>
      <c r="E54" s="20"/>
      <c r="F54" s="20"/>
      <c r="G54" s="20"/>
      <c r="H54" s="20"/>
      <c r="I54" s="20"/>
      <c r="J54" s="20"/>
      <c r="K54" s="20"/>
      <c r="L54" s="20"/>
      <c r="M54" s="20"/>
      <c r="N54" s="20"/>
      <c r="O54" s="20"/>
      <c r="P54" s="20"/>
      <c r="Q54" s="20"/>
      <c r="R54" s="20"/>
      <c r="S54" s="20"/>
      <c r="T54" s="20"/>
      <c r="U54" s="20"/>
      <c r="V54" s="8"/>
      <c r="W54" s="8"/>
      <c r="X54" s="8"/>
      <c r="Y54" s="8"/>
      <c r="Z54" s="8"/>
      <c r="AA54" s="8"/>
      <c r="AB54" s="8"/>
      <c r="AC54" s="8"/>
      <c r="AD54" s="8"/>
      <c r="AE54" s="8"/>
      <c r="AF54" s="8"/>
      <c r="AG54" s="8"/>
      <c r="AH54" s="8"/>
      <c r="AI54" s="8"/>
      <c r="AJ54" s="8"/>
      <c r="AK54" s="8"/>
      <c r="AL54" s="8"/>
      <c r="AM54" s="8"/>
    </row>
    <row r="55" spans="1:39" ht="15.75" customHeight="1">
      <c r="A55" s="3"/>
      <c r="B55" s="20"/>
      <c r="C55" s="16"/>
      <c r="D55" s="20"/>
      <c r="E55" s="16"/>
      <c r="F55" s="20"/>
      <c r="G55" s="16"/>
      <c r="H55" s="20"/>
      <c r="I55" s="16"/>
      <c r="J55" s="20"/>
      <c r="K55" s="16"/>
      <c r="L55" s="20"/>
      <c r="M55" s="16"/>
      <c r="N55" s="20"/>
      <c r="O55" s="20"/>
      <c r="P55" s="20"/>
      <c r="Q55" s="20"/>
      <c r="R55" s="20"/>
      <c r="S55" s="20"/>
      <c r="T55" s="20"/>
      <c r="U55" s="20"/>
      <c r="V55" s="8"/>
      <c r="W55" s="8"/>
      <c r="X55" s="8"/>
      <c r="Y55" s="8"/>
      <c r="Z55" s="8"/>
      <c r="AA55" s="8"/>
      <c r="AB55" s="8"/>
      <c r="AC55" s="8"/>
      <c r="AD55" s="8"/>
      <c r="AE55" s="8"/>
      <c r="AF55" s="8"/>
      <c r="AG55" s="8"/>
      <c r="AH55" s="8"/>
      <c r="AI55" s="8"/>
      <c r="AJ55" s="8"/>
      <c r="AK55" s="8"/>
      <c r="AL55" s="8"/>
      <c r="AM55" s="8"/>
    </row>
    <row r="56" spans="1:39" ht="15.75" customHeight="1">
      <c r="A56" s="3"/>
      <c r="B56" s="20"/>
      <c r="C56" s="16"/>
      <c r="D56" s="20"/>
      <c r="E56" s="16"/>
      <c r="F56" s="20"/>
      <c r="G56" s="16"/>
      <c r="H56" s="20"/>
      <c r="I56" s="16"/>
      <c r="J56" s="20"/>
      <c r="K56" s="16"/>
      <c r="L56" s="20"/>
      <c r="M56" s="16"/>
      <c r="N56" s="20"/>
      <c r="O56" s="20"/>
      <c r="P56" s="20"/>
      <c r="Q56" s="20"/>
      <c r="R56" s="20"/>
      <c r="S56" s="20"/>
      <c r="T56" s="20"/>
      <c r="U56" s="20"/>
      <c r="V56" s="8"/>
      <c r="W56" s="8"/>
      <c r="X56" s="8"/>
      <c r="Y56" s="8"/>
      <c r="Z56" s="8"/>
      <c r="AA56" s="8"/>
      <c r="AB56" s="8"/>
      <c r="AC56" s="8"/>
      <c r="AD56" s="8"/>
      <c r="AE56" s="8"/>
      <c r="AF56" s="8"/>
      <c r="AG56" s="8"/>
      <c r="AH56" s="8"/>
      <c r="AI56" s="8"/>
      <c r="AJ56" s="8"/>
      <c r="AK56" s="8"/>
      <c r="AL56" s="8"/>
      <c r="AM56" s="8"/>
    </row>
    <row r="57" spans="1:39" ht="15.75" customHeight="1">
      <c r="A57" s="3"/>
      <c r="B57" s="950"/>
      <c r="C57" s="16"/>
      <c r="D57" s="20"/>
      <c r="E57" s="16"/>
      <c r="F57" s="20"/>
      <c r="G57" s="16"/>
      <c r="H57" s="20"/>
      <c r="I57" s="16"/>
      <c r="J57" s="20"/>
      <c r="K57" s="16"/>
      <c r="L57" s="20"/>
      <c r="M57" s="16"/>
      <c r="N57" s="20"/>
      <c r="O57" s="20"/>
      <c r="P57" s="20"/>
      <c r="Q57" s="20"/>
      <c r="R57" s="20"/>
      <c r="S57" s="20"/>
      <c r="T57" s="20"/>
      <c r="U57" s="20"/>
      <c r="V57" s="8"/>
      <c r="W57" s="8"/>
      <c r="X57" s="8"/>
      <c r="Y57" s="8"/>
      <c r="Z57" s="8"/>
      <c r="AA57" s="8"/>
      <c r="AB57" s="8"/>
      <c r="AC57" s="8"/>
      <c r="AD57" s="8"/>
      <c r="AE57" s="8"/>
      <c r="AF57" s="8"/>
      <c r="AG57" s="8"/>
      <c r="AH57" s="8"/>
      <c r="AI57" s="8"/>
      <c r="AJ57" s="8"/>
      <c r="AK57" s="8"/>
      <c r="AL57" s="8"/>
      <c r="AM57" s="8"/>
    </row>
    <row r="58" spans="1:39" ht="15.75" customHeight="1">
      <c r="A58" s="3"/>
      <c r="B58" s="800"/>
      <c r="C58" s="16"/>
      <c r="D58" s="20"/>
      <c r="E58" s="16"/>
      <c r="F58" s="20"/>
      <c r="G58" s="16"/>
      <c r="H58" s="20"/>
      <c r="I58" s="16"/>
      <c r="J58" s="20"/>
      <c r="K58" s="16"/>
      <c r="L58" s="20"/>
      <c r="M58" s="16"/>
      <c r="N58" s="20"/>
      <c r="O58" s="20"/>
      <c r="P58" s="20"/>
      <c r="Q58" s="20"/>
      <c r="R58" s="20"/>
      <c r="S58" s="20"/>
      <c r="T58" s="20"/>
      <c r="U58" s="20"/>
      <c r="V58" s="8"/>
      <c r="W58" s="8"/>
      <c r="X58" s="8"/>
      <c r="Y58" s="8"/>
      <c r="Z58" s="8"/>
      <c r="AA58" s="8"/>
      <c r="AB58" s="8"/>
      <c r="AC58" s="8"/>
      <c r="AD58" s="8"/>
      <c r="AE58" s="8"/>
      <c r="AF58" s="8"/>
      <c r="AG58" s="8"/>
      <c r="AH58" s="8"/>
      <c r="AI58" s="8"/>
      <c r="AJ58" s="8"/>
      <c r="AK58" s="8"/>
      <c r="AL58" s="8"/>
      <c r="AM58" s="8"/>
    </row>
    <row r="59" spans="1:39" ht="15.75" customHeight="1">
      <c r="A59" s="3"/>
      <c r="B59" s="800"/>
      <c r="C59" s="16"/>
      <c r="D59" s="20"/>
      <c r="E59" s="16"/>
      <c r="F59" s="20"/>
      <c r="G59" s="16"/>
      <c r="H59" s="20"/>
      <c r="I59" s="16"/>
      <c r="J59" s="20"/>
      <c r="K59" s="16"/>
      <c r="L59" s="20"/>
      <c r="M59" s="16"/>
      <c r="N59" s="20"/>
      <c r="O59" s="20"/>
      <c r="P59" s="20"/>
      <c r="Q59" s="20"/>
      <c r="R59" s="20"/>
      <c r="S59" s="20"/>
      <c r="T59" s="20"/>
      <c r="U59" s="20"/>
      <c r="V59" s="8"/>
      <c r="W59" s="8"/>
      <c r="X59" s="8"/>
      <c r="Y59" s="8"/>
      <c r="Z59" s="8"/>
      <c r="AA59" s="8"/>
      <c r="AB59" s="8"/>
      <c r="AC59" s="8"/>
      <c r="AD59" s="8"/>
      <c r="AE59" s="8"/>
      <c r="AF59" s="8"/>
      <c r="AG59" s="8"/>
      <c r="AH59" s="8"/>
      <c r="AI59" s="8"/>
      <c r="AJ59" s="8"/>
      <c r="AK59" s="8"/>
      <c r="AL59" s="8"/>
      <c r="AM59" s="8"/>
    </row>
    <row r="60" spans="1:39" ht="15.75" customHeight="1">
      <c r="A60" s="3"/>
      <c r="B60" s="800"/>
      <c r="C60" s="16"/>
      <c r="D60" s="20"/>
      <c r="E60" s="16"/>
      <c r="F60" s="20"/>
      <c r="G60" s="16"/>
      <c r="H60" s="20"/>
      <c r="I60" s="16"/>
      <c r="J60" s="20"/>
      <c r="K60" s="16"/>
      <c r="L60" s="20"/>
      <c r="M60" s="16"/>
      <c r="N60" s="20"/>
      <c r="O60" s="20"/>
      <c r="P60" s="20"/>
      <c r="Q60" s="20"/>
      <c r="R60" s="20"/>
      <c r="S60" s="20"/>
      <c r="T60" s="20"/>
      <c r="U60" s="20"/>
      <c r="V60" s="8"/>
      <c r="W60" s="8"/>
      <c r="X60" s="8"/>
      <c r="Y60" s="8"/>
      <c r="Z60" s="8"/>
      <c r="AA60" s="8"/>
      <c r="AB60" s="8"/>
      <c r="AC60" s="8"/>
      <c r="AD60" s="8"/>
      <c r="AE60" s="8"/>
      <c r="AF60" s="8"/>
      <c r="AG60" s="8"/>
      <c r="AH60" s="8"/>
      <c r="AI60" s="8"/>
      <c r="AJ60" s="8"/>
      <c r="AK60" s="8"/>
      <c r="AL60" s="8"/>
      <c r="AM60" s="8"/>
    </row>
    <row r="61" spans="1:39" ht="15.75" customHeight="1">
      <c r="A61" s="3"/>
      <c r="B61" s="800"/>
      <c r="C61" s="16"/>
      <c r="D61" s="20"/>
      <c r="E61" s="16"/>
      <c r="F61" s="20"/>
      <c r="G61" s="16"/>
      <c r="H61" s="20"/>
      <c r="I61" s="16"/>
      <c r="J61" s="20"/>
      <c r="K61" s="16"/>
      <c r="L61" s="20"/>
      <c r="M61" s="16"/>
      <c r="N61" s="20"/>
      <c r="O61" s="20"/>
      <c r="P61" s="20"/>
      <c r="Q61" s="20"/>
      <c r="R61" s="20"/>
      <c r="S61" s="20"/>
      <c r="T61" s="20"/>
      <c r="U61" s="20"/>
      <c r="V61" s="8"/>
      <c r="W61" s="8"/>
      <c r="X61" s="8"/>
      <c r="Y61" s="8"/>
      <c r="Z61" s="8"/>
      <c r="AA61" s="8"/>
      <c r="AB61" s="8"/>
      <c r="AC61" s="8"/>
      <c r="AD61" s="8"/>
      <c r="AE61" s="8"/>
      <c r="AF61" s="8"/>
      <c r="AG61" s="8"/>
      <c r="AH61" s="8"/>
      <c r="AI61" s="8"/>
      <c r="AJ61" s="8"/>
      <c r="AK61" s="8"/>
      <c r="AL61" s="8"/>
      <c r="AM61" s="8"/>
    </row>
    <row r="62" spans="1:39" ht="15.75" customHeight="1">
      <c r="A62" s="3"/>
      <c r="B62" s="800"/>
      <c r="C62" s="16"/>
      <c r="D62" s="20"/>
      <c r="E62" s="16"/>
      <c r="F62" s="20"/>
      <c r="G62" s="16"/>
      <c r="H62" s="20"/>
      <c r="I62" s="16"/>
      <c r="J62" s="20"/>
      <c r="K62" s="16"/>
      <c r="L62" s="20"/>
      <c r="M62" s="16"/>
      <c r="N62" s="20"/>
      <c r="O62" s="20"/>
      <c r="P62" s="20"/>
      <c r="Q62" s="20"/>
      <c r="R62" s="20"/>
      <c r="S62" s="20"/>
      <c r="T62" s="20"/>
      <c r="U62" s="20"/>
      <c r="V62" s="8"/>
      <c r="W62" s="8"/>
      <c r="X62" s="8"/>
      <c r="Y62" s="8"/>
      <c r="Z62" s="8"/>
      <c r="AA62" s="8"/>
      <c r="AB62" s="8"/>
      <c r="AC62" s="8"/>
      <c r="AD62" s="8"/>
      <c r="AE62" s="8"/>
      <c r="AF62" s="8"/>
      <c r="AG62" s="8"/>
      <c r="AH62" s="8"/>
      <c r="AI62" s="8"/>
      <c r="AJ62" s="8"/>
      <c r="AK62" s="8"/>
      <c r="AL62" s="8"/>
      <c r="AM62" s="8"/>
    </row>
    <row r="63" spans="1:39" ht="15.75" customHeight="1">
      <c r="A63" s="3"/>
      <c r="B63" s="800"/>
      <c r="C63" s="16"/>
      <c r="D63" s="20"/>
      <c r="E63" s="16"/>
      <c r="F63" s="20"/>
      <c r="G63" s="16"/>
      <c r="H63" s="20"/>
      <c r="I63" s="16"/>
      <c r="J63" s="20"/>
      <c r="K63" s="16"/>
      <c r="L63" s="20"/>
      <c r="M63" s="16"/>
      <c r="N63" s="20"/>
      <c r="O63" s="20"/>
      <c r="P63" s="20"/>
      <c r="Q63" s="20"/>
      <c r="R63" s="20"/>
      <c r="S63" s="20"/>
      <c r="T63" s="20"/>
      <c r="U63" s="20"/>
      <c r="V63" s="8"/>
      <c r="W63" s="8"/>
      <c r="X63" s="8"/>
      <c r="Y63" s="8"/>
      <c r="Z63" s="8"/>
      <c r="AA63" s="8"/>
      <c r="AB63" s="8"/>
      <c r="AC63" s="8"/>
      <c r="AD63" s="8"/>
      <c r="AE63" s="8"/>
      <c r="AF63" s="8"/>
      <c r="AG63" s="8"/>
      <c r="AH63" s="8"/>
      <c r="AI63" s="8"/>
      <c r="AJ63" s="8"/>
      <c r="AK63" s="8"/>
      <c r="AL63" s="8"/>
      <c r="AM63" s="8"/>
    </row>
    <row r="64" spans="1:39" ht="15.75" customHeight="1">
      <c r="A64" s="3"/>
      <c r="B64" s="800"/>
      <c r="C64" s="16"/>
      <c r="D64" s="20"/>
      <c r="E64" s="16"/>
      <c r="F64" s="20"/>
      <c r="G64" s="16"/>
      <c r="H64" s="20"/>
      <c r="I64" s="16"/>
      <c r="J64" s="20"/>
      <c r="K64" s="16"/>
      <c r="L64" s="20"/>
      <c r="M64" s="16"/>
      <c r="N64" s="20"/>
      <c r="O64" s="20"/>
      <c r="P64" s="20"/>
      <c r="Q64" s="20"/>
      <c r="R64" s="20"/>
      <c r="S64" s="20"/>
      <c r="T64" s="20"/>
      <c r="U64" s="20"/>
      <c r="V64" s="8"/>
      <c r="W64" s="8"/>
      <c r="X64" s="8"/>
      <c r="Y64" s="8"/>
      <c r="Z64" s="8"/>
      <c r="AA64" s="8"/>
      <c r="AB64" s="8"/>
      <c r="AC64" s="8"/>
      <c r="AD64" s="8"/>
      <c r="AE64" s="8"/>
      <c r="AF64" s="8"/>
      <c r="AG64" s="8"/>
      <c r="AH64" s="8"/>
      <c r="AI64" s="8"/>
      <c r="AJ64" s="8"/>
      <c r="AK64" s="8"/>
      <c r="AL64" s="8"/>
      <c r="AM64" s="8"/>
    </row>
    <row r="65" spans="1:39" ht="15.75" customHeight="1">
      <c r="A65" s="3"/>
      <c r="B65" s="800"/>
      <c r="C65" s="16"/>
      <c r="D65" s="20"/>
      <c r="E65" s="16"/>
      <c r="F65" s="20"/>
      <c r="G65" s="16"/>
      <c r="H65" s="20"/>
      <c r="I65" s="16"/>
      <c r="J65" s="20"/>
      <c r="K65" s="16"/>
      <c r="L65" s="20"/>
      <c r="M65" s="16"/>
      <c r="N65" s="20"/>
      <c r="O65" s="20"/>
      <c r="P65" s="20"/>
      <c r="Q65" s="20"/>
      <c r="R65" s="20"/>
      <c r="S65" s="20"/>
      <c r="T65" s="20"/>
      <c r="U65" s="20"/>
      <c r="V65" s="8"/>
      <c r="W65" s="8"/>
      <c r="X65" s="8"/>
      <c r="Y65" s="8"/>
      <c r="Z65" s="8"/>
      <c r="AA65" s="8"/>
      <c r="AB65" s="8"/>
      <c r="AC65" s="8"/>
      <c r="AD65" s="8"/>
      <c r="AE65" s="8"/>
      <c r="AF65" s="8"/>
      <c r="AG65" s="8"/>
      <c r="AH65" s="8"/>
      <c r="AI65" s="8"/>
      <c r="AJ65" s="8"/>
      <c r="AK65" s="8"/>
      <c r="AL65" s="8"/>
      <c r="AM65" s="8"/>
    </row>
    <row r="66" spans="1:39" ht="15.75" customHeight="1">
      <c r="A66" s="3"/>
      <c r="B66" s="800"/>
      <c r="C66" s="16"/>
      <c r="D66" s="20"/>
      <c r="E66" s="16"/>
      <c r="F66" s="20"/>
      <c r="G66" s="16"/>
      <c r="H66" s="20"/>
      <c r="I66" s="16"/>
      <c r="J66" s="20"/>
      <c r="K66" s="16"/>
      <c r="L66" s="20"/>
      <c r="M66" s="16"/>
      <c r="N66" s="20"/>
      <c r="O66" s="16"/>
      <c r="P66" s="20"/>
      <c r="Q66" s="20"/>
      <c r="R66" s="20"/>
      <c r="S66" s="20"/>
      <c r="T66" s="20"/>
      <c r="U66" s="20"/>
      <c r="V66" s="8"/>
      <c r="W66" s="8"/>
      <c r="X66" s="8"/>
      <c r="Y66" s="8"/>
      <c r="Z66" s="8"/>
      <c r="AA66" s="8"/>
      <c r="AB66" s="8"/>
      <c r="AC66" s="8"/>
      <c r="AD66" s="8"/>
      <c r="AE66" s="8"/>
      <c r="AF66" s="8"/>
      <c r="AG66" s="8"/>
      <c r="AH66" s="8"/>
      <c r="AI66" s="8"/>
      <c r="AJ66" s="8"/>
      <c r="AK66" s="8"/>
      <c r="AL66" s="8"/>
      <c r="AM66" s="8"/>
    </row>
    <row r="67" spans="1:39" ht="15.75" customHeight="1">
      <c r="A67" s="3"/>
      <c r="B67" s="800"/>
      <c r="C67" s="16"/>
      <c r="D67" s="20"/>
      <c r="E67" s="16"/>
      <c r="F67" s="20"/>
      <c r="G67" s="16"/>
      <c r="H67" s="20"/>
      <c r="I67" s="16"/>
      <c r="J67" s="20"/>
      <c r="K67" s="16"/>
      <c r="L67" s="20"/>
      <c r="M67" s="16"/>
      <c r="N67" s="20"/>
      <c r="O67" s="16"/>
      <c r="P67" s="20"/>
      <c r="Q67" s="20"/>
      <c r="R67" s="20"/>
      <c r="S67" s="20"/>
      <c r="T67" s="20"/>
      <c r="U67" s="20"/>
      <c r="V67" s="8"/>
      <c r="W67" s="8"/>
      <c r="X67" s="8"/>
      <c r="Y67" s="8"/>
      <c r="Z67" s="8"/>
      <c r="AA67" s="8"/>
      <c r="AB67" s="8"/>
      <c r="AC67" s="8"/>
      <c r="AD67" s="8"/>
      <c r="AE67" s="8"/>
      <c r="AF67" s="8"/>
      <c r="AG67" s="8"/>
      <c r="AH67" s="8"/>
      <c r="AI67" s="8"/>
      <c r="AJ67" s="8"/>
      <c r="AK67" s="8"/>
      <c r="AL67" s="8"/>
      <c r="AM67" s="8"/>
    </row>
    <row r="68" spans="1:39" ht="15.75" customHeight="1">
      <c r="A68" s="3"/>
      <c r="B68" s="800"/>
      <c r="C68" s="16"/>
      <c r="D68" s="20"/>
      <c r="E68" s="16"/>
      <c r="F68" s="20"/>
      <c r="G68" s="16"/>
      <c r="H68" s="20"/>
      <c r="I68" s="16"/>
      <c r="J68" s="20"/>
      <c r="K68" s="16"/>
      <c r="L68" s="20"/>
      <c r="M68" s="16"/>
      <c r="N68" s="20"/>
      <c r="O68" s="16"/>
      <c r="P68" s="20"/>
      <c r="Q68" s="20"/>
      <c r="R68" s="20"/>
      <c r="S68" s="20"/>
      <c r="T68" s="20"/>
      <c r="U68" s="20"/>
      <c r="V68" s="8"/>
      <c r="W68" s="8"/>
      <c r="X68" s="8"/>
      <c r="Y68" s="8"/>
      <c r="Z68" s="8"/>
      <c r="AA68" s="8"/>
      <c r="AB68" s="8"/>
      <c r="AC68" s="8"/>
      <c r="AD68" s="8"/>
      <c r="AE68" s="8"/>
      <c r="AF68" s="8"/>
      <c r="AG68" s="8"/>
      <c r="AH68" s="8"/>
      <c r="AI68" s="8"/>
      <c r="AJ68" s="8"/>
      <c r="AK68" s="8"/>
      <c r="AL68" s="8"/>
      <c r="AM68" s="8"/>
    </row>
    <row r="69" spans="1:39" ht="15.75" customHeight="1">
      <c r="A69" s="3"/>
      <c r="B69" s="800"/>
      <c r="C69" s="16"/>
      <c r="D69" s="20"/>
      <c r="E69" s="16"/>
      <c r="F69" s="20"/>
      <c r="G69" s="16"/>
      <c r="H69" s="20"/>
      <c r="I69" s="16"/>
      <c r="J69" s="20"/>
      <c r="K69" s="16"/>
      <c r="L69" s="20"/>
      <c r="M69" s="16"/>
      <c r="N69" s="20"/>
      <c r="O69" s="16"/>
      <c r="P69" s="20"/>
      <c r="Q69" s="20"/>
      <c r="R69" s="20"/>
      <c r="S69" s="20"/>
      <c r="T69" s="20"/>
      <c r="U69" s="20"/>
      <c r="V69" s="8"/>
      <c r="W69" s="8"/>
      <c r="X69" s="8"/>
      <c r="Y69" s="8"/>
      <c r="Z69" s="8"/>
      <c r="AA69" s="8"/>
      <c r="AB69" s="8"/>
      <c r="AC69" s="8"/>
      <c r="AD69" s="8"/>
      <c r="AE69" s="8"/>
      <c r="AF69" s="8"/>
      <c r="AG69" s="8"/>
      <c r="AH69" s="8"/>
      <c r="AI69" s="8"/>
      <c r="AJ69" s="8"/>
      <c r="AK69" s="8"/>
      <c r="AL69" s="8"/>
      <c r="AM69" s="8"/>
    </row>
    <row r="70" spans="1:39" ht="15.75" customHeight="1">
      <c r="A70" s="3"/>
      <c r="B70" s="800"/>
      <c r="C70" s="16"/>
      <c r="D70" s="20"/>
      <c r="E70" s="16"/>
      <c r="F70" s="20"/>
      <c r="G70" s="16"/>
      <c r="H70" s="20"/>
      <c r="I70" s="16"/>
      <c r="J70" s="20"/>
      <c r="K70" s="16"/>
      <c r="L70" s="20"/>
      <c r="M70" s="16"/>
      <c r="N70" s="20"/>
      <c r="O70" s="16"/>
      <c r="P70" s="20"/>
      <c r="Q70" s="20"/>
      <c r="R70" s="20"/>
      <c r="S70" s="20"/>
      <c r="T70" s="20"/>
      <c r="U70" s="20"/>
      <c r="V70" s="8"/>
      <c r="W70" s="8"/>
      <c r="X70" s="8"/>
      <c r="Y70" s="8"/>
      <c r="Z70" s="8"/>
      <c r="AA70" s="8"/>
      <c r="AB70" s="8"/>
      <c r="AC70" s="8"/>
      <c r="AD70" s="8"/>
      <c r="AE70" s="8"/>
      <c r="AF70" s="8"/>
      <c r="AG70" s="8"/>
      <c r="AH70" s="8"/>
      <c r="AI70" s="8"/>
      <c r="AJ70" s="8"/>
      <c r="AK70" s="8"/>
      <c r="AL70" s="8"/>
      <c r="AM70" s="8"/>
    </row>
    <row r="71" spans="1:39" ht="15.75" customHeight="1">
      <c r="A71" s="3"/>
      <c r="B71" s="800"/>
      <c r="C71" s="16"/>
      <c r="D71" s="20"/>
      <c r="E71" s="16"/>
      <c r="F71" s="20"/>
      <c r="G71" s="16"/>
      <c r="H71" s="20"/>
      <c r="I71" s="16"/>
      <c r="J71" s="20"/>
      <c r="K71" s="16"/>
      <c r="L71" s="20"/>
      <c r="M71" s="16"/>
      <c r="N71" s="20"/>
      <c r="O71" s="16"/>
      <c r="P71" s="20"/>
      <c r="Q71" s="20"/>
      <c r="R71" s="20"/>
      <c r="S71" s="20"/>
      <c r="T71" s="20"/>
      <c r="U71" s="20"/>
      <c r="V71" s="8"/>
      <c r="W71" s="8"/>
      <c r="X71" s="8"/>
      <c r="Y71" s="8"/>
      <c r="Z71" s="8"/>
      <c r="AA71" s="8"/>
      <c r="AB71" s="8"/>
      <c r="AC71" s="8"/>
      <c r="AD71" s="8"/>
      <c r="AE71" s="8"/>
      <c r="AF71" s="8"/>
      <c r="AG71" s="8"/>
      <c r="AH71" s="8"/>
      <c r="AI71" s="8"/>
      <c r="AJ71" s="8"/>
      <c r="AK71" s="8"/>
      <c r="AL71" s="8"/>
      <c r="AM71" s="8"/>
    </row>
    <row r="72" spans="1:39" ht="15.75" customHeight="1">
      <c r="A72" s="3"/>
      <c r="B72" s="800"/>
      <c r="C72" s="16"/>
      <c r="D72" s="20"/>
      <c r="E72" s="16"/>
      <c r="F72" s="20"/>
      <c r="G72" s="16"/>
      <c r="H72" s="20"/>
      <c r="I72" s="16"/>
      <c r="J72" s="20"/>
      <c r="K72" s="16"/>
      <c r="L72" s="20"/>
      <c r="M72" s="16"/>
      <c r="N72" s="20"/>
      <c r="O72" s="16"/>
      <c r="P72" s="20"/>
      <c r="Q72" s="20"/>
      <c r="R72" s="20"/>
      <c r="S72" s="20"/>
      <c r="T72" s="20"/>
      <c r="U72" s="20"/>
      <c r="V72" s="8"/>
      <c r="W72" s="8"/>
      <c r="X72" s="8"/>
      <c r="Y72" s="8"/>
      <c r="Z72" s="8"/>
      <c r="AA72" s="8"/>
      <c r="AB72" s="8"/>
      <c r="AC72" s="8"/>
      <c r="AD72" s="8"/>
      <c r="AE72" s="8"/>
      <c r="AF72" s="8"/>
      <c r="AG72" s="8"/>
      <c r="AH72" s="8"/>
      <c r="AI72" s="8"/>
      <c r="AJ72" s="8"/>
      <c r="AK72" s="8"/>
      <c r="AL72" s="8"/>
      <c r="AM72" s="8"/>
    </row>
    <row r="73" spans="1:39" ht="15.75" customHeight="1">
      <c r="A73" s="3"/>
      <c r="B73" s="800"/>
      <c r="C73" s="16"/>
      <c r="D73" s="20"/>
      <c r="E73" s="16"/>
      <c r="F73" s="20"/>
      <c r="G73" s="16"/>
      <c r="H73" s="20"/>
      <c r="I73" s="16"/>
      <c r="J73" s="20"/>
      <c r="K73" s="16"/>
      <c r="L73" s="20"/>
      <c r="M73" s="16"/>
      <c r="N73" s="20"/>
      <c r="O73" s="16"/>
      <c r="P73" s="20"/>
      <c r="Q73" s="20"/>
      <c r="R73" s="20"/>
      <c r="S73" s="20"/>
      <c r="T73" s="20"/>
      <c r="U73" s="20"/>
      <c r="V73" s="8"/>
      <c r="W73" s="8"/>
      <c r="X73" s="8"/>
      <c r="Y73" s="8"/>
      <c r="Z73" s="8"/>
      <c r="AA73" s="8"/>
      <c r="AB73" s="8"/>
      <c r="AC73" s="8"/>
      <c r="AD73" s="8"/>
      <c r="AE73" s="8"/>
      <c r="AF73" s="8"/>
      <c r="AG73" s="8"/>
      <c r="AH73" s="8"/>
      <c r="AI73" s="8"/>
      <c r="AJ73" s="8"/>
      <c r="AK73" s="8"/>
      <c r="AL73" s="8"/>
      <c r="AM73" s="8"/>
    </row>
    <row r="74" spans="1:39" ht="15.75" customHeight="1">
      <c r="A74" s="3"/>
      <c r="B74" s="800"/>
      <c r="C74" s="16"/>
      <c r="D74" s="20"/>
      <c r="E74" s="16"/>
      <c r="F74" s="20"/>
      <c r="G74" s="16"/>
      <c r="H74" s="20"/>
      <c r="I74" s="16"/>
      <c r="J74" s="20"/>
      <c r="K74" s="16"/>
      <c r="L74" s="20"/>
      <c r="M74" s="16"/>
      <c r="N74" s="20"/>
      <c r="O74" s="16"/>
      <c r="P74" s="20"/>
      <c r="Q74" s="20"/>
      <c r="R74" s="20"/>
      <c r="S74" s="20"/>
      <c r="T74" s="20"/>
      <c r="U74" s="20"/>
      <c r="V74" s="8"/>
      <c r="W74" s="8"/>
      <c r="X74" s="8"/>
      <c r="Y74" s="8"/>
      <c r="Z74" s="8"/>
      <c r="AA74" s="8"/>
      <c r="AB74" s="8"/>
      <c r="AC74" s="8"/>
      <c r="AD74" s="8"/>
      <c r="AE74" s="8"/>
      <c r="AF74" s="8"/>
      <c r="AG74" s="8"/>
      <c r="AH74" s="8"/>
      <c r="AI74" s="8"/>
      <c r="AJ74" s="8"/>
      <c r="AK74" s="8"/>
      <c r="AL74" s="8"/>
      <c r="AM74" s="8"/>
    </row>
    <row r="75" spans="1:39" ht="15.75" customHeight="1">
      <c r="A75" s="3"/>
      <c r="B75" s="800"/>
      <c r="C75" s="16"/>
      <c r="D75" s="20"/>
      <c r="E75" s="16"/>
      <c r="F75" s="20"/>
      <c r="G75" s="16"/>
      <c r="H75" s="20"/>
      <c r="I75" s="16"/>
      <c r="J75" s="20"/>
      <c r="K75" s="16"/>
      <c r="L75" s="20"/>
      <c r="M75" s="16"/>
      <c r="N75" s="20"/>
      <c r="O75" s="16"/>
      <c r="P75" s="20"/>
      <c r="Q75" s="20"/>
      <c r="R75" s="20"/>
      <c r="S75" s="20"/>
      <c r="T75" s="20"/>
      <c r="U75" s="20"/>
      <c r="V75" s="8"/>
      <c r="W75" s="8"/>
      <c r="X75" s="8"/>
      <c r="Y75" s="8"/>
      <c r="Z75" s="8"/>
      <c r="AA75" s="8"/>
      <c r="AB75" s="8"/>
      <c r="AC75" s="8"/>
      <c r="AD75" s="8"/>
      <c r="AE75" s="8"/>
      <c r="AF75" s="8"/>
      <c r="AG75" s="8"/>
      <c r="AH75" s="8"/>
      <c r="AI75" s="8"/>
      <c r="AJ75" s="8"/>
      <c r="AK75" s="8"/>
      <c r="AL75" s="8"/>
      <c r="AM75" s="8"/>
    </row>
    <row r="76" spans="1:39" ht="15.75" customHeight="1">
      <c r="A76" s="3"/>
      <c r="B76" s="800"/>
      <c r="C76" s="16"/>
      <c r="D76" s="20"/>
      <c r="E76" s="16"/>
      <c r="F76" s="20"/>
      <c r="G76" s="16"/>
      <c r="H76" s="20"/>
      <c r="I76" s="16"/>
      <c r="J76" s="20"/>
      <c r="K76" s="16"/>
      <c r="L76" s="20"/>
      <c r="M76" s="16"/>
      <c r="N76" s="20"/>
      <c r="O76" s="16"/>
      <c r="P76" s="20"/>
      <c r="Q76" s="20"/>
      <c r="R76" s="20"/>
      <c r="S76" s="67"/>
      <c r="T76" s="67"/>
      <c r="U76" s="67"/>
      <c r="V76" s="8"/>
      <c r="W76" s="8"/>
      <c r="X76" s="8"/>
      <c r="Y76" s="8"/>
      <c r="Z76" s="8"/>
      <c r="AA76" s="8"/>
      <c r="AB76" s="8"/>
      <c r="AC76" s="8"/>
      <c r="AD76" s="8"/>
      <c r="AE76" s="8"/>
      <c r="AF76" s="8"/>
      <c r="AG76" s="8"/>
      <c r="AH76" s="8"/>
      <c r="AI76" s="8"/>
      <c r="AJ76" s="8"/>
      <c r="AK76" s="8"/>
      <c r="AL76" s="8"/>
      <c r="AM76" s="8"/>
    </row>
    <row r="77" spans="1:39" ht="15.75" customHeight="1">
      <c r="A77" s="3"/>
      <c r="B77" s="801"/>
      <c r="C77" s="16"/>
      <c r="D77" s="20"/>
      <c r="E77" s="16"/>
      <c r="F77" s="20"/>
      <c r="G77" s="16"/>
      <c r="H77" s="20"/>
      <c r="I77" s="16"/>
      <c r="J77" s="20"/>
      <c r="K77" s="16"/>
      <c r="L77" s="20"/>
      <c r="M77" s="16"/>
      <c r="N77" s="20"/>
      <c r="O77" s="16"/>
      <c r="P77" s="20"/>
      <c r="Q77" s="20"/>
      <c r="R77" s="20"/>
      <c r="S77" s="67"/>
      <c r="T77" s="67"/>
      <c r="U77" s="67"/>
      <c r="V77" s="8"/>
      <c r="W77" s="8"/>
      <c r="X77" s="8"/>
      <c r="Y77" s="8"/>
      <c r="Z77" s="8"/>
      <c r="AA77" s="8"/>
      <c r="AB77" s="8"/>
      <c r="AC77" s="8"/>
      <c r="AD77" s="8"/>
      <c r="AE77" s="8"/>
      <c r="AF77" s="8"/>
      <c r="AG77" s="8"/>
      <c r="AH77" s="8"/>
      <c r="AI77" s="8"/>
      <c r="AJ77" s="8"/>
      <c r="AK77" s="8"/>
      <c r="AL77" s="8"/>
      <c r="AM77" s="8"/>
    </row>
    <row r="78" spans="1:39" ht="15.75" customHeight="1">
      <c r="A78" s="3"/>
      <c r="B78" s="20"/>
      <c r="C78" s="20"/>
      <c r="D78" s="20"/>
      <c r="E78" s="20"/>
      <c r="F78" s="20"/>
      <c r="G78" s="20"/>
      <c r="H78" s="20"/>
      <c r="I78" s="20"/>
      <c r="J78" s="20"/>
      <c r="K78" s="20"/>
      <c r="L78" s="20"/>
      <c r="M78" s="20"/>
      <c r="N78" s="20"/>
      <c r="O78" s="20"/>
      <c r="P78" s="20"/>
      <c r="Q78" s="20"/>
      <c r="R78" s="20"/>
      <c r="S78" s="67"/>
      <c r="T78" s="67"/>
      <c r="U78" s="67"/>
      <c r="V78" s="8"/>
      <c r="W78" s="8"/>
      <c r="X78" s="8"/>
      <c r="Y78" s="8"/>
      <c r="Z78" s="8"/>
      <c r="AA78" s="8"/>
      <c r="AB78" s="8"/>
      <c r="AC78" s="8"/>
      <c r="AD78" s="8"/>
      <c r="AE78" s="8"/>
      <c r="AF78" s="8"/>
      <c r="AG78" s="8"/>
      <c r="AH78" s="8"/>
      <c r="AI78" s="8"/>
      <c r="AJ78" s="8"/>
      <c r="AK78" s="8"/>
      <c r="AL78" s="8"/>
      <c r="AM78" s="8"/>
    </row>
    <row r="79" spans="1:39" ht="15.75" customHeight="1">
      <c r="A79" s="3"/>
      <c r="B79" s="20"/>
      <c r="C79" s="20"/>
      <c r="D79" s="20"/>
      <c r="E79" s="20"/>
      <c r="F79" s="20"/>
      <c r="G79" s="20"/>
      <c r="H79" s="20"/>
      <c r="I79" s="20"/>
      <c r="J79" s="20"/>
      <c r="K79" s="20"/>
      <c r="L79" s="20"/>
      <c r="M79" s="20"/>
      <c r="N79" s="20"/>
      <c r="O79" s="20"/>
      <c r="P79" s="20"/>
      <c r="Q79" s="20"/>
      <c r="R79" s="20"/>
      <c r="S79" s="67"/>
      <c r="T79" s="67"/>
      <c r="U79" s="67"/>
      <c r="V79" s="8"/>
      <c r="W79" s="8"/>
      <c r="X79" s="8"/>
      <c r="Y79" s="8"/>
      <c r="Z79" s="8"/>
      <c r="AA79" s="8"/>
      <c r="AB79" s="8"/>
      <c r="AC79" s="8"/>
      <c r="AD79" s="8"/>
      <c r="AE79" s="8"/>
      <c r="AF79" s="8"/>
      <c r="AG79" s="8"/>
      <c r="AH79" s="8"/>
      <c r="AI79" s="8"/>
      <c r="AJ79" s="8"/>
      <c r="AK79" s="8"/>
      <c r="AL79" s="8"/>
      <c r="AM79" s="8"/>
    </row>
    <row r="80" spans="1:39" ht="15.75" customHeight="1">
      <c r="A80" s="3"/>
      <c r="B80" s="20"/>
      <c r="C80" s="20"/>
      <c r="D80" s="20"/>
      <c r="E80" s="20"/>
      <c r="F80" s="20"/>
      <c r="G80" s="20"/>
      <c r="H80" s="20"/>
      <c r="I80" s="20"/>
      <c r="J80" s="20"/>
      <c r="K80" s="20"/>
      <c r="L80" s="20"/>
      <c r="M80" s="20"/>
      <c r="N80" s="20"/>
      <c r="O80" s="20"/>
      <c r="P80" s="20"/>
      <c r="Q80" s="20"/>
      <c r="R80" s="20"/>
      <c r="S80" s="67"/>
      <c r="T80" s="67"/>
      <c r="U80" s="67"/>
      <c r="V80" s="8"/>
      <c r="W80" s="8"/>
      <c r="X80" s="8"/>
      <c r="Y80" s="8"/>
      <c r="Z80" s="8"/>
      <c r="AA80" s="8"/>
      <c r="AB80" s="8"/>
      <c r="AC80" s="8"/>
      <c r="AD80" s="8"/>
      <c r="AE80" s="8"/>
      <c r="AF80" s="8"/>
      <c r="AG80" s="8"/>
      <c r="AH80" s="8"/>
      <c r="AI80" s="8"/>
      <c r="AJ80" s="8"/>
      <c r="AK80" s="8"/>
      <c r="AL80" s="8"/>
      <c r="AM80" s="8"/>
    </row>
    <row r="81" spans="1:39" ht="15.75" customHeight="1">
      <c r="A81" s="3"/>
      <c r="B81" s="20"/>
      <c r="C81" s="20"/>
      <c r="D81" s="20"/>
      <c r="E81" s="20"/>
      <c r="F81" s="20"/>
      <c r="G81" s="20"/>
      <c r="H81" s="20"/>
      <c r="I81" s="20"/>
      <c r="J81" s="20"/>
      <c r="K81" s="20"/>
      <c r="L81" s="20"/>
      <c r="M81" s="20"/>
      <c r="N81" s="20"/>
      <c r="O81" s="20"/>
      <c r="P81" s="20"/>
      <c r="Q81" s="20"/>
      <c r="R81" s="20"/>
      <c r="S81" s="67"/>
      <c r="T81" s="67"/>
      <c r="U81" s="67"/>
      <c r="V81" s="8"/>
      <c r="W81" s="8"/>
      <c r="X81" s="8"/>
      <c r="Y81" s="8"/>
      <c r="Z81" s="8"/>
      <c r="AA81" s="8"/>
      <c r="AB81" s="8"/>
      <c r="AC81" s="8"/>
      <c r="AD81" s="8"/>
      <c r="AE81" s="8"/>
      <c r="AF81" s="8"/>
      <c r="AG81" s="8"/>
      <c r="AH81" s="8"/>
      <c r="AI81" s="8"/>
      <c r="AJ81" s="8"/>
      <c r="AK81" s="8"/>
      <c r="AL81" s="8"/>
      <c r="AM81" s="8"/>
    </row>
    <row r="82" spans="1:39" ht="15.75" customHeight="1">
      <c r="A82" s="3"/>
      <c r="B82" s="20"/>
      <c r="C82" s="20"/>
      <c r="D82" s="20"/>
      <c r="E82" s="20"/>
      <c r="F82" s="308"/>
      <c r="G82" s="308"/>
      <c r="H82" s="308"/>
      <c r="I82" s="308"/>
      <c r="J82" s="308"/>
      <c r="K82" s="20"/>
      <c r="L82" s="20"/>
      <c r="M82" s="308"/>
      <c r="N82" s="20"/>
      <c r="O82" s="20"/>
      <c r="P82" s="20"/>
      <c r="Q82" s="20"/>
      <c r="R82" s="20"/>
      <c r="S82" s="67"/>
      <c r="T82" s="67"/>
      <c r="U82" s="67"/>
      <c r="V82" s="8"/>
      <c r="W82" s="8"/>
      <c r="X82" s="8"/>
      <c r="Y82" s="8"/>
      <c r="Z82" s="8"/>
      <c r="AA82" s="8"/>
      <c r="AB82" s="8"/>
      <c r="AC82" s="8"/>
      <c r="AD82" s="8"/>
      <c r="AE82" s="8"/>
      <c r="AF82" s="8"/>
      <c r="AG82" s="8"/>
      <c r="AH82" s="8"/>
      <c r="AI82" s="8"/>
      <c r="AJ82" s="8"/>
      <c r="AK82" s="8"/>
      <c r="AL82" s="8"/>
      <c r="AM82" s="8"/>
    </row>
    <row r="83" spans="1:39" ht="15.75" customHeight="1">
      <c r="A83" s="3"/>
      <c r="B83" s="20"/>
      <c r="C83" s="20"/>
      <c r="D83" s="20"/>
      <c r="E83" s="20"/>
      <c r="F83" s="308"/>
      <c r="G83" s="308"/>
      <c r="H83" s="308"/>
      <c r="I83" s="308"/>
      <c r="J83" s="308"/>
      <c r="K83" s="20"/>
      <c r="L83" s="20"/>
      <c r="M83" s="308"/>
      <c r="N83" s="20"/>
      <c r="O83" s="20"/>
      <c r="P83" s="20"/>
      <c r="Q83" s="20"/>
      <c r="R83" s="20"/>
      <c r="S83" s="67"/>
      <c r="T83" s="67"/>
      <c r="U83" s="67"/>
      <c r="V83" s="8"/>
      <c r="W83" s="8"/>
      <c r="X83" s="8"/>
      <c r="Y83" s="8"/>
      <c r="Z83" s="8"/>
      <c r="AA83" s="8"/>
      <c r="AB83" s="8"/>
      <c r="AC83" s="8"/>
      <c r="AD83" s="8"/>
      <c r="AE83" s="8"/>
      <c r="AF83" s="8"/>
      <c r="AG83" s="8"/>
      <c r="AH83" s="8"/>
      <c r="AI83" s="8"/>
      <c r="AJ83" s="8"/>
      <c r="AK83" s="8"/>
      <c r="AL83" s="8"/>
      <c r="AM83" s="8"/>
    </row>
    <row r="84" spans="1:39" ht="15.75" customHeight="1">
      <c r="A84" s="3"/>
      <c r="B84" s="20"/>
      <c r="C84" s="20"/>
      <c r="D84" s="20"/>
      <c r="E84" s="20"/>
      <c r="F84" s="308"/>
      <c r="G84" s="308"/>
      <c r="H84" s="308"/>
      <c r="I84" s="308"/>
      <c r="J84" s="308"/>
      <c r="K84" s="20"/>
      <c r="L84" s="20"/>
      <c r="M84" s="308"/>
      <c r="N84" s="20"/>
      <c r="O84" s="20"/>
      <c r="P84" s="20"/>
      <c r="Q84" s="20"/>
      <c r="R84" s="20"/>
      <c r="S84" s="67"/>
      <c r="T84" s="67"/>
      <c r="U84" s="67"/>
      <c r="V84" s="8"/>
      <c r="W84" s="8"/>
      <c r="X84" s="8"/>
      <c r="Y84" s="8"/>
      <c r="Z84" s="8"/>
      <c r="AA84" s="8"/>
      <c r="AB84" s="8"/>
      <c r="AC84" s="8"/>
      <c r="AD84" s="8"/>
      <c r="AE84" s="8"/>
      <c r="AF84" s="8"/>
      <c r="AG84" s="8"/>
      <c r="AH84" s="8"/>
      <c r="AI84" s="8"/>
      <c r="AJ84" s="8"/>
      <c r="AK84" s="8"/>
      <c r="AL84" s="8"/>
      <c r="AM84" s="8"/>
    </row>
    <row r="85" spans="1:39" ht="15.75" customHeight="1">
      <c r="A85" s="3"/>
      <c r="B85" s="20"/>
      <c r="C85" s="20"/>
      <c r="D85" s="20"/>
      <c r="E85" s="20"/>
      <c r="F85" s="308"/>
      <c r="G85" s="308"/>
      <c r="H85" s="308"/>
      <c r="I85" s="308"/>
      <c r="J85" s="308"/>
      <c r="K85" s="20"/>
      <c r="L85" s="20"/>
      <c r="M85" s="308"/>
      <c r="N85" s="20"/>
      <c r="O85" s="20"/>
      <c r="P85" s="20"/>
      <c r="Q85" s="20"/>
      <c r="R85" s="20"/>
      <c r="S85" s="67"/>
      <c r="T85" s="67"/>
      <c r="U85" s="67"/>
      <c r="V85" s="8"/>
      <c r="W85" s="8"/>
      <c r="X85" s="8"/>
      <c r="Y85" s="8"/>
      <c r="Z85" s="8"/>
      <c r="AA85" s="8"/>
      <c r="AB85" s="8"/>
      <c r="AC85" s="8"/>
      <c r="AD85" s="8"/>
      <c r="AE85" s="8"/>
      <c r="AF85" s="8"/>
      <c r="AG85" s="8"/>
      <c r="AH85" s="8"/>
      <c r="AI85" s="8"/>
      <c r="AJ85" s="8"/>
      <c r="AK85" s="8"/>
      <c r="AL85" s="8"/>
      <c r="AM85" s="8"/>
    </row>
    <row r="86" spans="1:39" ht="15.75" customHeight="1">
      <c r="A86" s="3"/>
      <c r="B86" s="20"/>
      <c r="C86" s="20"/>
      <c r="D86" s="20"/>
      <c r="E86" s="20"/>
      <c r="F86" s="308"/>
      <c r="G86" s="308"/>
      <c r="H86" s="308"/>
      <c r="I86" s="308"/>
      <c r="J86" s="308"/>
      <c r="K86" s="20"/>
      <c r="L86" s="20"/>
      <c r="M86" s="308"/>
      <c r="N86" s="20"/>
      <c r="O86" s="20"/>
      <c r="P86" s="20"/>
      <c r="Q86" s="20"/>
      <c r="R86" s="20"/>
      <c r="S86" s="67"/>
      <c r="T86" s="67"/>
      <c r="U86" s="67"/>
      <c r="V86" s="8"/>
      <c r="W86" s="8"/>
      <c r="X86" s="8"/>
      <c r="Y86" s="8"/>
      <c r="Z86" s="8"/>
      <c r="AA86" s="8"/>
      <c r="AB86" s="8"/>
      <c r="AC86" s="8"/>
      <c r="AD86" s="8"/>
      <c r="AE86" s="8"/>
      <c r="AF86" s="8"/>
      <c r="AG86" s="8"/>
      <c r="AH86" s="8"/>
      <c r="AI86" s="8"/>
      <c r="AJ86" s="8"/>
      <c r="AK86" s="8"/>
      <c r="AL86" s="8"/>
      <c r="AM86" s="8"/>
    </row>
    <row r="87" spans="1:39" ht="15.75" customHeight="1">
      <c r="A87" s="3"/>
      <c r="B87" s="20"/>
      <c r="C87" s="20"/>
      <c r="D87" s="20"/>
      <c r="E87" s="20"/>
      <c r="F87" s="308"/>
      <c r="G87" s="308"/>
      <c r="H87" s="308"/>
      <c r="I87" s="308"/>
      <c r="J87" s="308"/>
      <c r="K87" s="20"/>
      <c r="L87" s="20"/>
      <c r="M87" s="308"/>
      <c r="N87" s="20"/>
      <c r="O87" s="20"/>
      <c r="P87" s="20"/>
      <c r="Q87" s="20"/>
      <c r="R87" s="20"/>
      <c r="S87" s="67"/>
      <c r="T87" s="67"/>
      <c r="U87" s="67"/>
      <c r="V87" s="8"/>
      <c r="W87" s="8"/>
      <c r="X87" s="8"/>
      <c r="Y87" s="8"/>
      <c r="Z87" s="8"/>
      <c r="AA87" s="8"/>
      <c r="AB87" s="8"/>
      <c r="AC87" s="8"/>
      <c r="AD87" s="8"/>
      <c r="AE87" s="8"/>
      <c r="AF87" s="8"/>
      <c r="AG87" s="8"/>
      <c r="AH87" s="8"/>
      <c r="AI87" s="8"/>
      <c r="AJ87" s="8"/>
      <c r="AK87" s="8"/>
      <c r="AL87" s="8"/>
      <c r="AM87" s="8"/>
    </row>
    <row r="88" spans="1:39" ht="15.75" customHeight="1">
      <c r="A88" s="3"/>
      <c r="B88" s="20"/>
      <c r="C88" s="20"/>
      <c r="D88" s="20"/>
      <c r="E88" s="20"/>
      <c r="F88" s="308"/>
      <c r="G88" s="308"/>
      <c r="H88" s="308"/>
      <c r="I88" s="308"/>
      <c r="J88" s="308"/>
      <c r="K88" s="20"/>
      <c r="L88" s="20"/>
      <c r="M88" s="308"/>
      <c r="N88" s="20"/>
      <c r="O88" s="20"/>
      <c r="P88" s="20"/>
      <c r="Q88" s="20"/>
      <c r="R88" s="20"/>
      <c r="S88" s="67"/>
      <c r="T88" s="67"/>
      <c r="U88" s="67"/>
      <c r="V88" s="8"/>
      <c r="W88" s="8"/>
      <c r="X88" s="8"/>
      <c r="Y88" s="8"/>
      <c r="Z88" s="8"/>
      <c r="AA88" s="8"/>
      <c r="AB88" s="8"/>
      <c r="AC88" s="8"/>
      <c r="AD88" s="8"/>
      <c r="AE88" s="8"/>
      <c r="AF88" s="8"/>
      <c r="AG88" s="8"/>
      <c r="AH88" s="8"/>
      <c r="AI88" s="8"/>
      <c r="AJ88" s="8"/>
      <c r="AK88" s="8"/>
      <c r="AL88" s="8"/>
      <c r="AM88" s="8"/>
    </row>
    <row r="89" spans="1:39" ht="15.75" customHeight="1">
      <c r="A89" s="3"/>
      <c r="B89" s="20"/>
      <c r="C89" s="20"/>
      <c r="D89" s="20"/>
      <c r="E89" s="20"/>
      <c r="F89" s="308"/>
      <c r="G89" s="308"/>
      <c r="H89" s="308"/>
      <c r="I89" s="308"/>
      <c r="J89" s="308"/>
      <c r="K89" s="20"/>
      <c r="L89" s="20"/>
      <c r="M89" s="308"/>
      <c r="N89" s="20"/>
      <c r="O89" s="20"/>
      <c r="P89" s="20"/>
      <c r="Q89" s="20"/>
      <c r="R89" s="20"/>
      <c r="S89" s="67"/>
      <c r="T89" s="67"/>
      <c r="U89" s="67"/>
      <c r="V89" s="8"/>
      <c r="W89" s="8"/>
      <c r="X89" s="8"/>
      <c r="Y89" s="8"/>
      <c r="Z89" s="8"/>
      <c r="AA89" s="8"/>
      <c r="AB89" s="8"/>
      <c r="AC89" s="8"/>
      <c r="AD89" s="8"/>
      <c r="AE89" s="8"/>
      <c r="AF89" s="8"/>
      <c r="AG89" s="8"/>
      <c r="AH89" s="8"/>
      <c r="AI89" s="8"/>
      <c r="AJ89" s="8"/>
      <c r="AK89" s="8"/>
      <c r="AL89" s="8"/>
      <c r="AM89" s="8"/>
    </row>
    <row r="90" spans="1:39" ht="15.75" customHeight="1">
      <c r="A90" s="3"/>
      <c r="B90" s="20"/>
      <c r="C90" s="20"/>
      <c r="D90" s="20"/>
      <c r="E90" s="20"/>
      <c r="F90" s="308"/>
      <c r="G90" s="308"/>
      <c r="H90" s="308"/>
      <c r="I90" s="308"/>
      <c r="J90" s="308"/>
      <c r="K90" s="20"/>
      <c r="L90" s="20"/>
      <c r="M90" s="308"/>
      <c r="N90" s="20"/>
      <c r="O90" s="20"/>
      <c r="P90" s="20"/>
      <c r="Q90" s="20"/>
      <c r="R90" s="20"/>
      <c r="S90" s="67"/>
      <c r="T90" s="67"/>
      <c r="U90" s="67"/>
      <c r="V90" s="8"/>
      <c r="W90" s="8"/>
      <c r="X90" s="8"/>
      <c r="Y90" s="8"/>
      <c r="Z90" s="8"/>
      <c r="AA90" s="8"/>
      <c r="AB90" s="8"/>
      <c r="AC90" s="8"/>
      <c r="AD90" s="8"/>
      <c r="AE90" s="8"/>
      <c r="AF90" s="8"/>
      <c r="AG90" s="8"/>
      <c r="AH90" s="8"/>
      <c r="AI90" s="8"/>
      <c r="AJ90" s="8"/>
      <c r="AK90" s="8"/>
      <c r="AL90" s="8"/>
      <c r="AM90" s="8"/>
    </row>
    <row r="91" spans="1:39" ht="15.75" customHeight="1">
      <c r="A91" s="3"/>
      <c r="B91" s="20"/>
      <c r="C91" s="20"/>
      <c r="D91" s="20"/>
      <c r="E91" s="20"/>
      <c r="F91" s="308"/>
      <c r="G91" s="308"/>
      <c r="H91" s="308"/>
      <c r="I91" s="308"/>
      <c r="J91" s="308"/>
      <c r="K91" s="20"/>
      <c r="L91" s="20"/>
      <c r="M91" s="308"/>
      <c r="N91" s="20"/>
      <c r="O91" s="20"/>
      <c r="P91" s="20"/>
      <c r="Q91" s="20"/>
      <c r="R91" s="20"/>
      <c r="S91" s="67"/>
      <c r="T91" s="67"/>
      <c r="U91" s="67"/>
      <c r="V91" s="8"/>
      <c r="W91" s="8"/>
      <c r="X91" s="8"/>
      <c r="Y91" s="8"/>
      <c r="Z91" s="8"/>
      <c r="AA91" s="8"/>
      <c r="AB91" s="8"/>
      <c r="AC91" s="8"/>
      <c r="AD91" s="8"/>
      <c r="AE91" s="8"/>
      <c r="AF91" s="8"/>
      <c r="AG91" s="8"/>
      <c r="AH91" s="8"/>
      <c r="AI91" s="8"/>
      <c r="AJ91" s="8"/>
      <c r="AK91" s="8"/>
      <c r="AL91" s="8"/>
      <c r="AM91" s="8"/>
    </row>
    <row r="92" spans="1:39" ht="15.75" customHeight="1">
      <c r="A92" s="3"/>
      <c r="B92" s="20"/>
      <c r="C92" s="20"/>
      <c r="D92" s="20"/>
      <c r="E92" s="20"/>
      <c r="F92" s="308"/>
      <c r="G92" s="308"/>
      <c r="H92" s="308"/>
      <c r="I92" s="308"/>
      <c r="J92" s="308"/>
      <c r="K92" s="20"/>
      <c r="L92" s="20"/>
      <c r="M92" s="308"/>
      <c r="N92" s="20"/>
      <c r="O92" s="20"/>
      <c r="P92" s="20"/>
      <c r="Q92" s="20"/>
      <c r="R92" s="20"/>
      <c r="S92" s="67"/>
      <c r="T92" s="67"/>
      <c r="U92" s="67"/>
      <c r="V92" s="8"/>
      <c r="W92" s="8"/>
      <c r="X92" s="8"/>
      <c r="Y92" s="8"/>
      <c r="Z92" s="8"/>
      <c r="AA92" s="8"/>
      <c r="AB92" s="8"/>
      <c r="AC92" s="8"/>
      <c r="AD92" s="8"/>
      <c r="AE92" s="8"/>
      <c r="AF92" s="8"/>
      <c r="AG92" s="8"/>
      <c r="AH92" s="8"/>
      <c r="AI92" s="8"/>
      <c r="AJ92" s="8"/>
      <c r="AK92" s="8"/>
      <c r="AL92" s="8"/>
      <c r="AM92" s="8"/>
    </row>
    <row r="93" spans="1:39" ht="15.75" customHeight="1">
      <c r="A93" s="3"/>
      <c r="B93" s="20"/>
      <c r="C93" s="20"/>
      <c r="D93" s="20"/>
      <c r="E93" s="20"/>
      <c r="F93" s="308"/>
      <c r="G93" s="308"/>
      <c r="H93" s="308"/>
      <c r="I93" s="308"/>
      <c r="J93" s="308"/>
      <c r="K93" s="20"/>
      <c r="L93" s="20"/>
      <c r="M93" s="308"/>
      <c r="N93" s="20"/>
      <c r="O93" s="20"/>
      <c r="P93" s="20"/>
      <c r="Q93" s="20"/>
      <c r="R93" s="20"/>
      <c r="S93" s="67"/>
      <c r="T93" s="67"/>
      <c r="U93" s="67"/>
      <c r="V93" s="8"/>
      <c r="W93" s="8"/>
      <c r="X93" s="8"/>
      <c r="Y93" s="8"/>
      <c r="Z93" s="8"/>
      <c r="AA93" s="8"/>
      <c r="AB93" s="8"/>
      <c r="AC93" s="8"/>
      <c r="AD93" s="8"/>
      <c r="AE93" s="8"/>
      <c r="AF93" s="8"/>
      <c r="AG93" s="8"/>
      <c r="AH93" s="8"/>
      <c r="AI93" s="8"/>
      <c r="AJ93" s="8"/>
      <c r="AK93" s="8"/>
      <c r="AL93" s="8"/>
      <c r="AM93" s="8"/>
    </row>
    <row r="94" spans="1:39" ht="15.75" customHeight="1">
      <c r="A94" s="3"/>
      <c r="B94" s="20"/>
      <c r="C94" s="20"/>
      <c r="D94" s="20"/>
      <c r="E94" s="20"/>
      <c r="F94" s="308"/>
      <c r="G94" s="308"/>
      <c r="H94" s="308"/>
      <c r="I94" s="308"/>
      <c r="J94" s="308"/>
      <c r="K94" s="20"/>
      <c r="L94" s="20"/>
      <c r="M94" s="308"/>
      <c r="N94" s="20"/>
      <c r="O94" s="20"/>
      <c r="P94" s="20"/>
      <c r="Q94" s="20"/>
      <c r="R94" s="20"/>
      <c r="S94" s="67"/>
      <c r="T94" s="67"/>
      <c r="U94" s="67"/>
      <c r="V94" s="8"/>
      <c r="W94" s="8"/>
      <c r="X94" s="8"/>
      <c r="Y94" s="8"/>
      <c r="Z94" s="8"/>
      <c r="AA94" s="8"/>
      <c r="AB94" s="8"/>
      <c r="AC94" s="8"/>
      <c r="AD94" s="8"/>
      <c r="AE94" s="8"/>
      <c r="AF94" s="8"/>
      <c r="AG94" s="8"/>
      <c r="AH94" s="8"/>
      <c r="AI94" s="8"/>
      <c r="AJ94" s="8"/>
      <c r="AK94" s="8"/>
      <c r="AL94" s="8"/>
      <c r="AM94" s="8"/>
    </row>
    <row r="95" spans="1:39" ht="15.75" customHeight="1">
      <c r="A95" s="3"/>
      <c r="B95" s="20"/>
      <c r="C95" s="20"/>
      <c r="D95" s="20"/>
      <c r="E95" s="20"/>
      <c r="F95" s="308"/>
      <c r="G95" s="308"/>
      <c r="H95" s="308"/>
      <c r="I95" s="308"/>
      <c r="J95" s="308"/>
      <c r="K95" s="20"/>
      <c r="L95" s="20"/>
      <c r="M95" s="308"/>
      <c r="N95" s="20"/>
      <c r="O95" s="20"/>
      <c r="P95" s="20"/>
      <c r="Q95" s="20"/>
      <c r="R95" s="20"/>
      <c r="S95" s="67"/>
      <c r="T95" s="67"/>
      <c r="U95" s="67"/>
      <c r="V95" s="8"/>
      <c r="W95" s="8"/>
      <c r="X95" s="8"/>
      <c r="Y95" s="8"/>
      <c r="Z95" s="8"/>
      <c r="AA95" s="8"/>
      <c r="AB95" s="8"/>
      <c r="AC95" s="8"/>
      <c r="AD95" s="8"/>
      <c r="AE95" s="8"/>
      <c r="AF95" s="8"/>
      <c r="AG95" s="8"/>
      <c r="AH95" s="8"/>
      <c r="AI95" s="8"/>
      <c r="AJ95" s="8"/>
      <c r="AK95" s="8"/>
      <c r="AL95" s="8"/>
      <c r="AM95" s="8"/>
    </row>
    <row r="96" spans="1:39" ht="15.75" customHeight="1">
      <c r="A96" s="3"/>
      <c r="B96" s="20"/>
      <c r="C96" s="20"/>
      <c r="D96" s="20"/>
      <c r="E96" s="20"/>
      <c r="F96" s="308"/>
      <c r="G96" s="308"/>
      <c r="H96" s="308"/>
      <c r="I96" s="308"/>
      <c r="J96" s="308"/>
      <c r="K96" s="20"/>
      <c r="L96" s="20"/>
      <c r="M96" s="308"/>
      <c r="N96" s="20"/>
      <c r="O96" s="20"/>
      <c r="P96" s="20"/>
      <c r="Q96" s="20"/>
      <c r="R96" s="20"/>
      <c r="S96" s="67"/>
      <c r="T96" s="67"/>
      <c r="U96" s="67"/>
      <c r="V96" s="8"/>
      <c r="W96" s="8"/>
      <c r="X96" s="8"/>
      <c r="Y96" s="8"/>
      <c r="Z96" s="8"/>
      <c r="AA96" s="8"/>
      <c r="AB96" s="8"/>
      <c r="AC96" s="8"/>
      <c r="AD96" s="8"/>
      <c r="AE96" s="8"/>
      <c r="AF96" s="8"/>
      <c r="AG96" s="8"/>
      <c r="AH96" s="8"/>
      <c r="AI96" s="8"/>
      <c r="AJ96" s="8"/>
      <c r="AK96" s="8"/>
      <c r="AL96" s="8"/>
      <c r="AM96" s="8"/>
    </row>
    <row r="97" spans="1:39" ht="15.75" customHeight="1">
      <c r="A97" s="3"/>
      <c r="B97" s="20"/>
      <c r="C97" s="20"/>
      <c r="D97" s="20"/>
      <c r="E97" s="20"/>
      <c r="F97" s="308"/>
      <c r="G97" s="308"/>
      <c r="H97" s="308"/>
      <c r="I97" s="308"/>
      <c r="J97" s="308"/>
      <c r="K97" s="20"/>
      <c r="L97" s="20"/>
      <c r="M97" s="308"/>
      <c r="N97" s="20"/>
      <c r="O97" s="20"/>
      <c r="P97" s="20"/>
      <c r="Q97" s="20"/>
      <c r="R97" s="20"/>
      <c r="S97" s="67"/>
      <c r="T97" s="67"/>
      <c r="U97" s="67"/>
      <c r="V97" s="8"/>
      <c r="W97" s="8"/>
      <c r="X97" s="8"/>
      <c r="Y97" s="8"/>
      <c r="Z97" s="8"/>
      <c r="AA97" s="8"/>
      <c r="AB97" s="8"/>
      <c r="AC97" s="8"/>
      <c r="AD97" s="8"/>
      <c r="AE97" s="8"/>
      <c r="AF97" s="8"/>
      <c r="AG97" s="8"/>
      <c r="AH97" s="8"/>
      <c r="AI97" s="8"/>
      <c r="AJ97" s="8"/>
      <c r="AK97" s="8"/>
      <c r="AL97" s="8"/>
      <c r="AM97" s="8"/>
    </row>
    <row r="98" spans="1:39" ht="15.75" customHeight="1">
      <c r="A98" s="3"/>
      <c r="B98" s="20"/>
      <c r="C98" s="20"/>
      <c r="D98" s="20"/>
      <c r="E98" s="20"/>
      <c r="F98" s="308"/>
      <c r="G98" s="308"/>
      <c r="H98" s="308"/>
      <c r="I98" s="308"/>
      <c r="J98" s="308"/>
      <c r="K98" s="20"/>
      <c r="L98" s="20"/>
      <c r="M98" s="308"/>
      <c r="N98" s="20"/>
      <c r="O98" s="20"/>
      <c r="P98" s="20"/>
      <c r="Q98" s="20"/>
      <c r="R98" s="20"/>
      <c r="S98" s="67"/>
      <c r="T98" s="67"/>
      <c r="U98" s="67"/>
      <c r="V98" s="8"/>
      <c r="W98" s="8"/>
      <c r="X98" s="8"/>
      <c r="Y98" s="8"/>
      <c r="Z98" s="8"/>
      <c r="AA98" s="8"/>
      <c r="AB98" s="8"/>
      <c r="AC98" s="8"/>
      <c r="AD98" s="8"/>
      <c r="AE98" s="8"/>
      <c r="AF98" s="8"/>
      <c r="AG98" s="8"/>
      <c r="AH98" s="8"/>
      <c r="AI98" s="8"/>
      <c r="AJ98" s="8"/>
      <c r="AK98" s="8"/>
      <c r="AL98" s="8"/>
      <c r="AM98" s="8"/>
    </row>
    <row r="99" spans="1:39" ht="15.75" customHeight="1">
      <c r="A99" s="3"/>
      <c r="B99" s="20"/>
      <c r="C99" s="20"/>
      <c r="D99" s="20"/>
      <c r="E99" s="20"/>
      <c r="F99" s="308"/>
      <c r="G99" s="308"/>
      <c r="H99" s="308"/>
      <c r="I99" s="308"/>
      <c r="J99" s="308"/>
      <c r="K99" s="20"/>
      <c r="L99" s="20"/>
      <c r="M99" s="308"/>
      <c r="N99" s="20"/>
      <c r="O99" s="20"/>
      <c r="P99" s="20"/>
      <c r="Q99" s="20"/>
      <c r="R99" s="20"/>
      <c r="S99" s="67"/>
      <c r="T99" s="67"/>
      <c r="U99" s="67"/>
      <c r="V99" s="8"/>
      <c r="W99" s="8"/>
      <c r="X99" s="8"/>
      <c r="Y99" s="8"/>
      <c r="Z99" s="8"/>
      <c r="AA99" s="8"/>
      <c r="AB99" s="8"/>
      <c r="AC99" s="8"/>
      <c r="AD99" s="8"/>
      <c r="AE99" s="8"/>
      <c r="AF99" s="8"/>
      <c r="AG99" s="8"/>
      <c r="AH99" s="8"/>
      <c r="AI99" s="8"/>
      <c r="AJ99" s="8"/>
      <c r="AK99" s="8"/>
      <c r="AL99" s="8"/>
      <c r="AM99" s="8"/>
    </row>
    <row r="100" spans="1:39" ht="15.75" customHeight="1">
      <c r="A100" s="3"/>
      <c r="B100" s="20"/>
      <c r="C100" s="20"/>
      <c r="D100" s="20"/>
      <c r="E100" s="20"/>
      <c r="F100" s="308"/>
      <c r="G100" s="308"/>
      <c r="H100" s="308"/>
      <c r="I100" s="308"/>
      <c r="J100" s="308"/>
      <c r="K100" s="20"/>
      <c r="L100" s="20"/>
      <c r="M100" s="308"/>
      <c r="N100" s="20"/>
      <c r="O100" s="20"/>
      <c r="P100" s="20"/>
      <c r="Q100" s="20"/>
      <c r="R100" s="20"/>
      <c r="S100" s="67"/>
      <c r="T100" s="67"/>
      <c r="U100" s="67"/>
      <c r="V100" s="8"/>
      <c r="W100" s="8"/>
      <c r="X100" s="8"/>
      <c r="Y100" s="8"/>
      <c r="Z100" s="8"/>
      <c r="AA100" s="8"/>
      <c r="AB100" s="8"/>
      <c r="AC100" s="8"/>
      <c r="AD100" s="8"/>
      <c r="AE100" s="8"/>
      <c r="AF100" s="8"/>
      <c r="AG100" s="8"/>
      <c r="AH100" s="8"/>
      <c r="AI100" s="8"/>
      <c r="AJ100" s="8"/>
      <c r="AK100" s="8"/>
      <c r="AL100" s="8"/>
      <c r="AM100" s="8"/>
    </row>
    <row r="101" spans="1:39" ht="15.75" customHeight="1">
      <c r="A101" s="3"/>
      <c r="B101" s="20"/>
      <c r="C101" s="20"/>
      <c r="D101" s="20"/>
      <c r="E101" s="20"/>
      <c r="F101" s="308"/>
      <c r="G101" s="308"/>
      <c r="H101" s="308"/>
      <c r="I101" s="308"/>
      <c r="J101" s="308"/>
      <c r="K101" s="20"/>
      <c r="L101" s="20"/>
      <c r="M101" s="308"/>
      <c r="N101" s="20"/>
      <c r="O101" s="20"/>
      <c r="P101" s="20"/>
      <c r="Q101" s="20"/>
      <c r="R101" s="20"/>
      <c r="S101" s="67"/>
      <c r="T101" s="67"/>
      <c r="U101" s="67"/>
      <c r="V101" s="8"/>
      <c r="W101" s="8"/>
      <c r="X101" s="8"/>
      <c r="Y101" s="8"/>
      <c r="Z101" s="8"/>
      <c r="AA101" s="8"/>
      <c r="AB101" s="8"/>
      <c r="AC101" s="8"/>
      <c r="AD101" s="8"/>
      <c r="AE101" s="8"/>
      <c r="AF101" s="8"/>
      <c r="AG101" s="8"/>
      <c r="AH101" s="8"/>
      <c r="AI101" s="8"/>
      <c r="AJ101" s="8"/>
      <c r="AK101" s="8"/>
      <c r="AL101" s="8"/>
      <c r="AM101" s="8"/>
    </row>
    <row r="102" spans="1:39" ht="15.75" customHeight="1">
      <c r="A102" s="3"/>
      <c r="B102" s="20"/>
      <c r="C102" s="20"/>
      <c r="D102" s="20"/>
      <c r="E102" s="20"/>
      <c r="F102" s="308"/>
      <c r="G102" s="308"/>
      <c r="H102" s="308"/>
      <c r="I102" s="308"/>
      <c r="J102" s="308"/>
      <c r="K102" s="20"/>
      <c r="L102" s="20"/>
      <c r="M102" s="308"/>
      <c r="N102" s="20"/>
      <c r="O102" s="20"/>
      <c r="P102" s="20"/>
      <c r="Q102" s="20"/>
      <c r="R102" s="20"/>
      <c r="S102" s="67"/>
      <c r="T102" s="67"/>
      <c r="U102" s="67"/>
      <c r="V102" s="8"/>
      <c r="W102" s="8"/>
      <c r="X102" s="8"/>
      <c r="Y102" s="8"/>
      <c r="Z102" s="8"/>
      <c r="AA102" s="8"/>
      <c r="AB102" s="8"/>
      <c r="AC102" s="8"/>
      <c r="AD102" s="8"/>
      <c r="AE102" s="8"/>
      <c r="AF102" s="8"/>
      <c r="AG102" s="8"/>
      <c r="AH102" s="8"/>
      <c r="AI102" s="8"/>
      <c r="AJ102" s="8"/>
      <c r="AK102" s="8"/>
      <c r="AL102" s="8"/>
      <c r="AM102" s="8"/>
    </row>
    <row r="103" spans="1:39" ht="15.75" customHeight="1">
      <c r="A103" s="3"/>
      <c r="B103" s="20"/>
      <c r="C103" s="20"/>
      <c r="D103" s="20"/>
      <c r="E103" s="20"/>
      <c r="F103" s="308"/>
      <c r="G103" s="308"/>
      <c r="H103" s="308"/>
      <c r="I103" s="308"/>
      <c r="J103" s="308"/>
      <c r="K103" s="20"/>
      <c r="L103" s="20"/>
      <c r="M103" s="308"/>
      <c r="N103" s="20"/>
      <c r="O103" s="20"/>
      <c r="P103" s="20"/>
      <c r="Q103" s="20"/>
      <c r="R103" s="20"/>
      <c r="S103" s="67"/>
      <c r="T103" s="67"/>
      <c r="U103" s="67"/>
      <c r="V103" s="8"/>
      <c r="W103" s="8"/>
      <c r="X103" s="8"/>
      <c r="Y103" s="8"/>
      <c r="Z103" s="8"/>
      <c r="AA103" s="8"/>
      <c r="AB103" s="8"/>
      <c r="AC103" s="8"/>
      <c r="AD103" s="8"/>
      <c r="AE103" s="8"/>
      <c r="AF103" s="8"/>
      <c r="AG103" s="8"/>
      <c r="AH103" s="8"/>
      <c r="AI103" s="8"/>
      <c r="AJ103" s="8"/>
      <c r="AK103" s="8"/>
      <c r="AL103" s="8"/>
      <c r="AM103" s="8"/>
    </row>
    <row r="104" spans="1:39" ht="15.75" customHeight="1">
      <c r="A104" s="3"/>
      <c r="B104" s="20"/>
      <c r="C104" s="20"/>
      <c r="D104" s="20"/>
      <c r="E104" s="20"/>
      <c r="F104" s="308"/>
      <c r="G104" s="308"/>
      <c r="H104" s="308"/>
      <c r="I104" s="308"/>
      <c r="J104" s="308"/>
      <c r="K104" s="20"/>
      <c r="L104" s="20"/>
      <c r="M104" s="308"/>
      <c r="N104" s="20"/>
      <c r="O104" s="20"/>
      <c r="P104" s="20"/>
      <c r="Q104" s="20"/>
      <c r="R104" s="20"/>
      <c r="S104" s="67"/>
      <c r="T104" s="67"/>
      <c r="U104" s="67"/>
      <c r="V104" s="8"/>
      <c r="W104" s="8"/>
      <c r="X104" s="8"/>
      <c r="Y104" s="8"/>
      <c r="Z104" s="8"/>
      <c r="AA104" s="8"/>
      <c r="AB104" s="8"/>
      <c r="AC104" s="8"/>
      <c r="AD104" s="8"/>
      <c r="AE104" s="8"/>
      <c r="AF104" s="8"/>
      <c r="AG104" s="8"/>
      <c r="AH104" s="8"/>
      <c r="AI104" s="8"/>
      <c r="AJ104" s="8"/>
      <c r="AK104" s="8"/>
      <c r="AL104" s="8"/>
      <c r="AM104" s="8"/>
    </row>
    <row r="105" spans="1:39" ht="15.75" customHeight="1">
      <c r="A105" s="3"/>
      <c r="B105" s="20"/>
      <c r="C105" s="20"/>
      <c r="D105" s="20"/>
      <c r="E105" s="20"/>
      <c r="F105" s="308"/>
      <c r="G105" s="308"/>
      <c r="H105" s="308"/>
      <c r="I105" s="308"/>
      <c r="J105" s="308"/>
      <c r="K105" s="20"/>
      <c r="L105" s="20"/>
      <c r="M105" s="308"/>
      <c r="N105" s="20"/>
      <c r="O105" s="20"/>
      <c r="P105" s="20"/>
      <c r="Q105" s="20"/>
      <c r="R105" s="20"/>
      <c r="S105" s="67"/>
      <c r="T105" s="67"/>
      <c r="U105" s="67"/>
      <c r="V105" s="8"/>
      <c r="W105" s="8"/>
      <c r="X105" s="8"/>
      <c r="Y105" s="8"/>
      <c r="Z105" s="8"/>
      <c r="AA105" s="8"/>
      <c r="AB105" s="8"/>
      <c r="AC105" s="8"/>
      <c r="AD105" s="8"/>
      <c r="AE105" s="8"/>
      <c r="AF105" s="8"/>
      <c r="AG105" s="8"/>
      <c r="AH105" s="8"/>
      <c r="AI105" s="8"/>
      <c r="AJ105" s="8"/>
      <c r="AK105" s="8"/>
      <c r="AL105" s="8"/>
      <c r="AM105" s="8"/>
    </row>
    <row r="106" spans="1:39" ht="15.75" customHeight="1">
      <c r="A106" s="3"/>
      <c r="B106" s="20"/>
      <c r="C106" s="20"/>
      <c r="D106" s="20"/>
      <c r="E106" s="20"/>
      <c r="F106" s="308"/>
      <c r="G106" s="308"/>
      <c r="H106" s="308"/>
      <c r="I106" s="308"/>
      <c r="J106" s="308"/>
      <c r="K106" s="20"/>
      <c r="L106" s="20"/>
      <c r="M106" s="308"/>
      <c r="N106" s="20"/>
      <c r="O106" s="20"/>
      <c r="P106" s="20"/>
      <c r="Q106" s="20"/>
      <c r="R106" s="20"/>
      <c r="S106" s="67"/>
      <c r="T106" s="67"/>
      <c r="U106" s="67"/>
      <c r="V106" s="8"/>
      <c r="W106" s="8"/>
      <c r="X106" s="8"/>
      <c r="Y106" s="8"/>
      <c r="Z106" s="8"/>
      <c r="AA106" s="8"/>
      <c r="AB106" s="8"/>
      <c r="AC106" s="8"/>
      <c r="AD106" s="8"/>
      <c r="AE106" s="8"/>
      <c r="AF106" s="8"/>
      <c r="AG106" s="8"/>
      <c r="AH106" s="8"/>
      <c r="AI106" s="8"/>
      <c r="AJ106" s="8"/>
      <c r="AK106" s="8"/>
      <c r="AL106" s="8"/>
      <c r="AM106" s="8"/>
    </row>
    <row r="107" spans="1:39" ht="15.75" customHeight="1">
      <c r="A107" s="3"/>
      <c r="B107" s="20"/>
      <c r="C107" s="20"/>
      <c r="D107" s="20"/>
      <c r="E107" s="20"/>
      <c r="F107" s="308"/>
      <c r="G107" s="308"/>
      <c r="H107" s="308"/>
      <c r="I107" s="308"/>
      <c r="J107" s="308"/>
      <c r="K107" s="20"/>
      <c r="L107" s="20"/>
      <c r="M107" s="308"/>
      <c r="N107" s="20"/>
      <c r="O107" s="20"/>
      <c r="P107" s="20"/>
      <c r="Q107" s="20"/>
      <c r="R107" s="20"/>
      <c r="S107" s="67"/>
      <c r="T107" s="67"/>
      <c r="U107" s="67"/>
      <c r="V107" s="8"/>
      <c r="W107" s="8"/>
      <c r="X107" s="8"/>
      <c r="Y107" s="8"/>
      <c r="Z107" s="8"/>
      <c r="AA107" s="8"/>
      <c r="AB107" s="8"/>
      <c r="AC107" s="8"/>
      <c r="AD107" s="8"/>
      <c r="AE107" s="8"/>
      <c r="AF107" s="8"/>
      <c r="AG107" s="8"/>
      <c r="AH107" s="8"/>
      <c r="AI107" s="8"/>
      <c r="AJ107" s="8"/>
      <c r="AK107" s="8"/>
      <c r="AL107" s="8"/>
      <c r="AM107" s="8"/>
    </row>
    <row r="108" spans="1:39" ht="15.75" customHeight="1">
      <c r="A108" s="3"/>
      <c r="B108" s="20"/>
      <c r="C108" s="20"/>
      <c r="D108" s="20"/>
      <c r="E108" s="20"/>
      <c r="F108" s="308"/>
      <c r="G108" s="308"/>
      <c r="H108" s="308"/>
      <c r="I108" s="308"/>
      <c r="J108" s="308"/>
      <c r="K108" s="20"/>
      <c r="L108" s="20"/>
      <c r="M108" s="308"/>
      <c r="N108" s="20"/>
      <c r="O108" s="20"/>
      <c r="P108" s="20"/>
      <c r="Q108" s="20"/>
      <c r="R108" s="20"/>
      <c r="S108" s="67"/>
      <c r="T108" s="67"/>
      <c r="U108" s="67"/>
      <c r="V108" s="8"/>
      <c r="W108" s="8"/>
      <c r="X108" s="8"/>
      <c r="Y108" s="8"/>
      <c r="Z108" s="8"/>
      <c r="AA108" s="8"/>
      <c r="AB108" s="8"/>
      <c r="AC108" s="8"/>
      <c r="AD108" s="8"/>
      <c r="AE108" s="8"/>
      <c r="AF108" s="8"/>
      <c r="AG108" s="8"/>
      <c r="AH108" s="8"/>
      <c r="AI108" s="8"/>
      <c r="AJ108" s="8"/>
      <c r="AK108" s="8"/>
      <c r="AL108" s="8"/>
      <c r="AM108" s="8"/>
    </row>
    <row r="109" spans="1:39" ht="15.75" customHeight="1">
      <c r="A109" s="3"/>
      <c r="B109" s="20"/>
      <c r="C109" s="20"/>
      <c r="D109" s="20"/>
      <c r="E109" s="20"/>
      <c r="F109" s="308"/>
      <c r="G109" s="308"/>
      <c r="H109" s="308"/>
      <c r="I109" s="308"/>
      <c r="J109" s="308"/>
      <c r="K109" s="20"/>
      <c r="L109" s="20"/>
      <c r="M109" s="308"/>
      <c r="N109" s="20"/>
      <c r="O109" s="20"/>
      <c r="P109" s="20"/>
      <c r="Q109" s="20"/>
      <c r="R109" s="20"/>
      <c r="S109" s="67"/>
      <c r="T109" s="67"/>
      <c r="U109" s="67"/>
      <c r="V109" s="8"/>
      <c r="W109" s="8"/>
      <c r="X109" s="8"/>
      <c r="Y109" s="8"/>
      <c r="Z109" s="8"/>
      <c r="AA109" s="8"/>
      <c r="AB109" s="8"/>
      <c r="AC109" s="8"/>
      <c r="AD109" s="8"/>
      <c r="AE109" s="8"/>
      <c r="AF109" s="8"/>
      <c r="AG109" s="8"/>
      <c r="AH109" s="8"/>
      <c r="AI109" s="8"/>
      <c r="AJ109" s="8"/>
      <c r="AK109" s="8"/>
      <c r="AL109" s="8"/>
      <c r="AM109" s="8"/>
    </row>
    <row r="110" spans="1:39" ht="15.75" customHeight="1">
      <c r="A110" s="3"/>
      <c r="B110" s="20"/>
      <c r="C110" s="20"/>
      <c r="D110" s="20"/>
      <c r="E110" s="20"/>
      <c r="F110" s="308"/>
      <c r="G110" s="308"/>
      <c r="H110" s="308"/>
      <c r="I110" s="308"/>
      <c r="J110" s="308"/>
      <c r="K110" s="20"/>
      <c r="L110" s="20"/>
      <c r="M110" s="308"/>
      <c r="N110" s="20"/>
      <c r="O110" s="20"/>
      <c r="P110" s="20"/>
      <c r="Q110" s="20"/>
      <c r="R110" s="20"/>
      <c r="S110" s="67"/>
      <c r="T110" s="67"/>
      <c r="U110" s="67"/>
      <c r="V110" s="8"/>
      <c r="W110" s="8"/>
      <c r="X110" s="8"/>
      <c r="Y110" s="8"/>
      <c r="Z110" s="8"/>
      <c r="AA110" s="8"/>
      <c r="AB110" s="8"/>
      <c r="AC110" s="8"/>
      <c r="AD110" s="8"/>
      <c r="AE110" s="8"/>
      <c r="AF110" s="8"/>
      <c r="AG110" s="8"/>
      <c r="AH110" s="8"/>
      <c r="AI110" s="8"/>
      <c r="AJ110" s="8"/>
      <c r="AK110" s="8"/>
      <c r="AL110" s="8"/>
      <c r="AM110" s="8"/>
    </row>
    <row r="111" spans="1:39" ht="15.75" customHeight="1">
      <c r="A111" s="3"/>
      <c r="B111" s="20"/>
      <c r="C111" s="20"/>
      <c r="D111" s="20"/>
      <c r="E111" s="20"/>
      <c r="F111" s="308"/>
      <c r="G111" s="308"/>
      <c r="H111" s="308"/>
      <c r="I111" s="308"/>
      <c r="J111" s="308"/>
      <c r="K111" s="20"/>
      <c r="L111" s="20"/>
      <c r="M111" s="308"/>
      <c r="N111" s="20"/>
      <c r="O111" s="20"/>
      <c r="P111" s="20"/>
      <c r="Q111" s="20"/>
      <c r="R111" s="20"/>
      <c r="S111" s="67"/>
      <c r="T111" s="67"/>
      <c r="U111" s="67"/>
      <c r="V111" s="8"/>
      <c r="W111" s="8"/>
      <c r="X111" s="8"/>
      <c r="Y111" s="8"/>
      <c r="Z111" s="8"/>
      <c r="AA111" s="8"/>
      <c r="AB111" s="8"/>
      <c r="AC111" s="8"/>
      <c r="AD111" s="8"/>
      <c r="AE111" s="8"/>
      <c r="AF111" s="8"/>
      <c r="AG111" s="8"/>
      <c r="AH111" s="8"/>
      <c r="AI111" s="8"/>
      <c r="AJ111" s="8"/>
      <c r="AK111" s="8"/>
      <c r="AL111" s="8"/>
      <c r="AM111" s="8"/>
    </row>
    <row r="112" spans="1:39" ht="15.75" customHeight="1">
      <c r="A112" s="3"/>
      <c r="B112" s="20"/>
      <c r="C112" s="20"/>
      <c r="D112" s="20"/>
      <c r="E112" s="20"/>
      <c r="F112" s="308"/>
      <c r="G112" s="308"/>
      <c r="H112" s="308"/>
      <c r="I112" s="308"/>
      <c r="J112" s="308"/>
      <c r="K112" s="20"/>
      <c r="L112" s="20"/>
      <c r="M112" s="308"/>
      <c r="N112" s="20"/>
      <c r="O112" s="20"/>
      <c r="P112" s="20"/>
      <c r="Q112" s="20"/>
      <c r="R112" s="20"/>
      <c r="S112" s="67"/>
      <c r="T112" s="67"/>
      <c r="U112" s="67"/>
      <c r="V112" s="8"/>
      <c r="W112" s="8"/>
      <c r="X112" s="8"/>
      <c r="Y112" s="8"/>
      <c r="Z112" s="8"/>
      <c r="AA112" s="8"/>
      <c r="AB112" s="8"/>
      <c r="AC112" s="8"/>
      <c r="AD112" s="8"/>
      <c r="AE112" s="8"/>
      <c r="AF112" s="8"/>
      <c r="AG112" s="8"/>
      <c r="AH112" s="8"/>
      <c r="AI112" s="8"/>
      <c r="AJ112" s="8"/>
      <c r="AK112" s="8"/>
      <c r="AL112" s="8"/>
      <c r="AM112" s="8"/>
    </row>
    <row r="113" spans="1:39" ht="15.75" customHeight="1">
      <c r="A113" s="3"/>
      <c r="B113" s="20"/>
      <c r="C113" s="20"/>
      <c r="D113" s="20"/>
      <c r="E113" s="20"/>
      <c r="F113" s="308"/>
      <c r="G113" s="308"/>
      <c r="H113" s="308"/>
      <c r="I113" s="308"/>
      <c r="J113" s="308"/>
      <c r="K113" s="20"/>
      <c r="L113" s="20"/>
      <c r="M113" s="308"/>
      <c r="N113" s="20"/>
      <c r="O113" s="20"/>
      <c r="P113" s="20"/>
      <c r="Q113" s="20"/>
      <c r="R113" s="20"/>
      <c r="S113" s="67"/>
      <c r="T113" s="67"/>
      <c r="U113" s="67"/>
      <c r="V113" s="8"/>
      <c r="W113" s="8"/>
      <c r="X113" s="8"/>
      <c r="Y113" s="8"/>
      <c r="Z113" s="8"/>
      <c r="AA113" s="8"/>
      <c r="AB113" s="8"/>
      <c r="AC113" s="8"/>
      <c r="AD113" s="8"/>
      <c r="AE113" s="8"/>
      <c r="AF113" s="8"/>
      <c r="AG113" s="8"/>
      <c r="AH113" s="8"/>
      <c r="AI113" s="8"/>
      <c r="AJ113" s="8"/>
      <c r="AK113" s="8"/>
      <c r="AL113" s="8"/>
      <c r="AM113" s="8"/>
    </row>
    <row r="114" spans="1:39" ht="15.75" customHeight="1">
      <c r="A114" s="3"/>
      <c r="B114" s="20"/>
      <c r="C114" s="20"/>
      <c r="D114" s="20"/>
      <c r="E114" s="20"/>
      <c r="F114" s="308"/>
      <c r="G114" s="308"/>
      <c r="H114" s="308"/>
      <c r="I114" s="308"/>
      <c r="J114" s="308"/>
      <c r="K114" s="20"/>
      <c r="L114" s="20"/>
      <c r="M114" s="308"/>
      <c r="N114" s="20"/>
      <c r="O114" s="20"/>
      <c r="P114" s="20"/>
      <c r="Q114" s="20"/>
      <c r="R114" s="20"/>
      <c r="S114" s="67"/>
      <c r="T114" s="67"/>
      <c r="U114" s="67"/>
      <c r="V114" s="8"/>
      <c r="W114" s="8"/>
      <c r="X114" s="8"/>
      <c r="Y114" s="8"/>
      <c r="Z114" s="8"/>
      <c r="AA114" s="8"/>
      <c r="AB114" s="8"/>
      <c r="AC114" s="8"/>
      <c r="AD114" s="8"/>
      <c r="AE114" s="8"/>
      <c r="AF114" s="8"/>
      <c r="AG114" s="8"/>
      <c r="AH114" s="8"/>
      <c r="AI114" s="8"/>
      <c r="AJ114" s="8"/>
      <c r="AK114" s="8"/>
      <c r="AL114" s="8"/>
      <c r="AM114" s="8"/>
    </row>
    <row r="115" spans="1:39" ht="15.75" customHeight="1">
      <c r="A115" s="3"/>
      <c r="B115" s="20"/>
      <c r="C115" s="20"/>
      <c r="D115" s="20"/>
      <c r="E115" s="20"/>
      <c r="F115" s="308"/>
      <c r="G115" s="308"/>
      <c r="H115" s="308"/>
      <c r="I115" s="308"/>
      <c r="J115" s="308"/>
      <c r="K115" s="20"/>
      <c r="L115" s="20"/>
      <c r="M115" s="308"/>
      <c r="N115" s="20"/>
      <c r="O115" s="20"/>
      <c r="P115" s="20"/>
      <c r="Q115" s="20"/>
      <c r="R115" s="20"/>
      <c r="S115" s="67"/>
      <c r="T115" s="67"/>
      <c r="U115" s="67"/>
      <c r="V115" s="8"/>
      <c r="W115" s="8"/>
      <c r="X115" s="8"/>
      <c r="Y115" s="8"/>
      <c r="Z115" s="8"/>
      <c r="AA115" s="8"/>
      <c r="AB115" s="8"/>
      <c r="AC115" s="8"/>
      <c r="AD115" s="8"/>
      <c r="AE115" s="8"/>
      <c r="AF115" s="8"/>
      <c r="AG115" s="8"/>
      <c r="AH115" s="8"/>
      <c r="AI115" s="8"/>
      <c r="AJ115" s="8"/>
      <c r="AK115" s="8"/>
      <c r="AL115" s="8"/>
      <c r="AM115" s="8"/>
    </row>
    <row r="116" spans="1:39" ht="15.75" customHeight="1">
      <c r="A116" s="3"/>
      <c r="B116" s="20"/>
      <c r="C116" s="20"/>
      <c r="D116" s="20"/>
      <c r="E116" s="20"/>
      <c r="F116" s="308"/>
      <c r="G116" s="308"/>
      <c r="H116" s="308"/>
      <c r="I116" s="308"/>
      <c r="J116" s="308"/>
      <c r="K116" s="20"/>
      <c r="L116" s="20"/>
      <c r="M116" s="308"/>
      <c r="N116" s="20"/>
      <c r="O116" s="20"/>
      <c r="P116" s="20"/>
      <c r="Q116" s="20"/>
      <c r="R116" s="20"/>
      <c r="S116" s="67"/>
      <c r="T116" s="67"/>
      <c r="U116" s="67"/>
      <c r="V116" s="8"/>
      <c r="W116" s="8"/>
      <c r="X116" s="8"/>
      <c r="Y116" s="8"/>
      <c r="Z116" s="8"/>
      <c r="AA116" s="8"/>
      <c r="AB116" s="8"/>
      <c r="AC116" s="8"/>
      <c r="AD116" s="8"/>
      <c r="AE116" s="8"/>
      <c r="AF116" s="8"/>
      <c r="AG116" s="8"/>
      <c r="AH116" s="8"/>
      <c r="AI116" s="8"/>
      <c r="AJ116" s="8"/>
      <c r="AK116" s="8"/>
      <c r="AL116" s="8"/>
      <c r="AM116" s="8"/>
    </row>
    <row r="117" spans="1:39" ht="15.75" customHeight="1">
      <c r="A117" s="3"/>
      <c r="B117" s="20"/>
      <c r="C117" s="20"/>
      <c r="D117" s="20"/>
      <c r="E117" s="20"/>
      <c r="F117" s="308"/>
      <c r="G117" s="308"/>
      <c r="H117" s="308"/>
      <c r="I117" s="308"/>
      <c r="J117" s="308"/>
      <c r="K117" s="20"/>
      <c r="L117" s="20"/>
      <c r="M117" s="308"/>
      <c r="N117" s="20"/>
      <c r="O117" s="20"/>
      <c r="P117" s="20"/>
      <c r="Q117" s="20"/>
      <c r="R117" s="20"/>
      <c r="S117" s="67"/>
      <c r="T117" s="67"/>
      <c r="U117" s="67"/>
      <c r="V117" s="8"/>
      <c r="W117" s="8"/>
      <c r="X117" s="8"/>
      <c r="Y117" s="8"/>
      <c r="Z117" s="8"/>
      <c r="AA117" s="8"/>
      <c r="AB117" s="8"/>
      <c r="AC117" s="8"/>
      <c r="AD117" s="8"/>
      <c r="AE117" s="8"/>
      <c r="AF117" s="8"/>
      <c r="AG117" s="8"/>
      <c r="AH117" s="8"/>
      <c r="AI117" s="8"/>
      <c r="AJ117" s="8"/>
      <c r="AK117" s="8"/>
      <c r="AL117" s="8"/>
      <c r="AM117" s="8"/>
    </row>
    <row r="118" spans="1:39" ht="15.75" customHeight="1">
      <c r="A118" s="3"/>
      <c r="B118" s="20"/>
      <c r="C118" s="20"/>
      <c r="D118" s="20"/>
      <c r="E118" s="20"/>
      <c r="F118" s="308"/>
      <c r="G118" s="308"/>
      <c r="H118" s="308"/>
      <c r="I118" s="308"/>
      <c r="J118" s="308"/>
      <c r="K118" s="20"/>
      <c r="L118" s="20"/>
      <c r="M118" s="308"/>
      <c r="N118" s="20"/>
      <c r="O118" s="20"/>
      <c r="P118" s="20"/>
      <c r="Q118" s="20"/>
      <c r="R118" s="20"/>
      <c r="S118" s="67"/>
      <c r="T118" s="67"/>
      <c r="U118" s="67"/>
      <c r="V118" s="8"/>
      <c r="W118" s="8"/>
      <c r="X118" s="8"/>
      <c r="Y118" s="8"/>
      <c r="Z118" s="8"/>
      <c r="AA118" s="8"/>
      <c r="AB118" s="8"/>
      <c r="AC118" s="8"/>
      <c r="AD118" s="8"/>
      <c r="AE118" s="8"/>
      <c r="AF118" s="8"/>
      <c r="AG118" s="8"/>
      <c r="AH118" s="8"/>
      <c r="AI118" s="8"/>
      <c r="AJ118" s="8"/>
      <c r="AK118" s="8"/>
      <c r="AL118" s="8"/>
      <c r="AM118" s="8"/>
    </row>
    <row r="119" spans="1:39" ht="15.75" customHeight="1">
      <c r="A119" s="3"/>
      <c r="B119" s="20"/>
      <c r="C119" s="20"/>
      <c r="D119" s="20"/>
      <c r="E119" s="20"/>
      <c r="F119" s="308"/>
      <c r="G119" s="308"/>
      <c r="H119" s="308"/>
      <c r="I119" s="308"/>
      <c r="J119" s="308"/>
      <c r="K119" s="20"/>
      <c r="L119" s="20"/>
      <c r="M119" s="308"/>
      <c r="N119" s="20"/>
      <c r="O119" s="20"/>
      <c r="P119" s="20"/>
      <c r="Q119" s="20"/>
      <c r="R119" s="20"/>
      <c r="S119" s="67"/>
      <c r="T119" s="67"/>
      <c r="U119" s="67"/>
      <c r="V119" s="8"/>
      <c r="W119" s="8"/>
      <c r="X119" s="8"/>
      <c r="Y119" s="8"/>
      <c r="Z119" s="8"/>
      <c r="AA119" s="8"/>
      <c r="AB119" s="8"/>
      <c r="AC119" s="8"/>
      <c r="AD119" s="8"/>
      <c r="AE119" s="8"/>
      <c r="AF119" s="8"/>
      <c r="AG119" s="8"/>
      <c r="AH119" s="8"/>
      <c r="AI119" s="8"/>
      <c r="AJ119" s="8"/>
      <c r="AK119" s="8"/>
      <c r="AL119" s="8"/>
      <c r="AM119" s="8"/>
    </row>
    <row r="120" spans="1:39" ht="15.75" customHeight="1">
      <c r="A120" s="3"/>
      <c r="B120" s="20"/>
      <c r="C120" s="20"/>
      <c r="D120" s="20"/>
      <c r="E120" s="20"/>
      <c r="F120" s="308"/>
      <c r="G120" s="308"/>
      <c r="H120" s="308"/>
      <c r="I120" s="308"/>
      <c r="J120" s="308"/>
      <c r="K120" s="20"/>
      <c r="L120" s="20"/>
      <c r="M120" s="308"/>
      <c r="N120" s="20"/>
      <c r="O120" s="20"/>
      <c r="P120" s="20"/>
      <c r="Q120" s="20"/>
      <c r="R120" s="20"/>
      <c r="S120" s="67"/>
      <c r="T120" s="67"/>
      <c r="U120" s="67"/>
      <c r="V120" s="8"/>
      <c r="W120" s="8"/>
      <c r="X120" s="8"/>
      <c r="Y120" s="8"/>
      <c r="Z120" s="8"/>
      <c r="AA120" s="8"/>
      <c r="AB120" s="8"/>
      <c r="AC120" s="8"/>
      <c r="AD120" s="8"/>
      <c r="AE120" s="8"/>
      <c r="AF120" s="8"/>
      <c r="AG120" s="8"/>
      <c r="AH120" s="8"/>
      <c r="AI120" s="8"/>
      <c r="AJ120" s="8"/>
      <c r="AK120" s="8"/>
      <c r="AL120" s="8"/>
      <c r="AM120" s="8"/>
    </row>
    <row r="121" spans="1:39" ht="15.75" customHeight="1">
      <c r="A121" s="3"/>
      <c r="B121" s="20"/>
      <c r="C121" s="20"/>
      <c r="D121" s="20"/>
      <c r="E121" s="20"/>
      <c r="F121" s="308"/>
      <c r="G121" s="308"/>
      <c r="H121" s="308"/>
      <c r="I121" s="308"/>
      <c r="J121" s="308"/>
      <c r="K121" s="20"/>
      <c r="L121" s="20"/>
      <c r="M121" s="308"/>
      <c r="N121" s="20"/>
      <c r="O121" s="20"/>
      <c r="P121" s="20"/>
      <c r="Q121" s="20"/>
      <c r="R121" s="20"/>
      <c r="S121" s="67"/>
      <c r="T121" s="67"/>
      <c r="U121" s="67"/>
      <c r="V121" s="8"/>
      <c r="W121" s="8"/>
      <c r="X121" s="8"/>
      <c r="Y121" s="8"/>
      <c r="Z121" s="8"/>
      <c r="AA121" s="8"/>
      <c r="AB121" s="8"/>
      <c r="AC121" s="8"/>
      <c r="AD121" s="8"/>
      <c r="AE121" s="8"/>
      <c r="AF121" s="8"/>
      <c r="AG121" s="8"/>
      <c r="AH121" s="8"/>
      <c r="AI121" s="8"/>
      <c r="AJ121" s="8"/>
      <c r="AK121" s="8"/>
      <c r="AL121" s="8"/>
      <c r="AM121" s="8"/>
    </row>
    <row r="122" spans="1:39" ht="15.75" customHeight="1">
      <c r="A122" s="3"/>
      <c r="B122" s="20"/>
      <c r="C122" s="20"/>
      <c r="D122" s="20"/>
      <c r="E122" s="20"/>
      <c r="F122" s="308"/>
      <c r="G122" s="308"/>
      <c r="H122" s="308"/>
      <c r="I122" s="308"/>
      <c r="J122" s="308"/>
      <c r="K122" s="20"/>
      <c r="L122" s="20"/>
      <c r="M122" s="308"/>
      <c r="N122" s="20"/>
      <c r="O122" s="20"/>
      <c r="P122" s="20"/>
      <c r="Q122" s="20"/>
      <c r="R122" s="20"/>
      <c r="S122" s="67"/>
      <c r="T122" s="67"/>
      <c r="U122" s="67"/>
      <c r="V122" s="8"/>
      <c r="W122" s="8"/>
      <c r="X122" s="8"/>
      <c r="Y122" s="8"/>
      <c r="Z122" s="8"/>
      <c r="AA122" s="8"/>
      <c r="AB122" s="8"/>
      <c r="AC122" s="8"/>
      <c r="AD122" s="8"/>
      <c r="AE122" s="8"/>
      <c r="AF122" s="8"/>
      <c r="AG122" s="8"/>
      <c r="AH122" s="8"/>
      <c r="AI122" s="8"/>
      <c r="AJ122" s="8"/>
      <c r="AK122" s="8"/>
      <c r="AL122" s="8"/>
      <c r="AM122" s="8"/>
    </row>
    <row r="123" spans="1:39" ht="15.75" customHeight="1">
      <c r="A123" s="3"/>
      <c r="B123" s="20"/>
      <c r="C123" s="20"/>
      <c r="D123" s="20"/>
      <c r="E123" s="20"/>
      <c r="F123" s="308"/>
      <c r="G123" s="308"/>
      <c r="H123" s="308"/>
      <c r="I123" s="308"/>
      <c r="J123" s="308"/>
      <c r="K123" s="20"/>
      <c r="L123" s="20"/>
      <c r="M123" s="308"/>
      <c r="N123" s="20"/>
      <c r="O123" s="20"/>
      <c r="P123" s="20"/>
      <c r="Q123" s="20"/>
      <c r="R123" s="20"/>
      <c r="S123" s="67"/>
      <c r="T123" s="67"/>
      <c r="U123" s="67"/>
      <c r="V123" s="8"/>
      <c r="W123" s="8"/>
      <c r="X123" s="8"/>
      <c r="Y123" s="8"/>
      <c r="Z123" s="8"/>
      <c r="AA123" s="8"/>
      <c r="AB123" s="8"/>
      <c r="AC123" s="8"/>
      <c r="AD123" s="8"/>
      <c r="AE123" s="8"/>
      <c r="AF123" s="8"/>
      <c r="AG123" s="8"/>
      <c r="AH123" s="8"/>
      <c r="AI123" s="8"/>
      <c r="AJ123" s="8"/>
      <c r="AK123" s="8"/>
      <c r="AL123" s="8"/>
      <c r="AM123" s="8"/>
    </row>
    <row r="124" spans="1:39" ht="15.75" customHeight="1">
      <c r="A124" s="3"/>
      <c r="B124" s="20"/>
      <c r="C124" s="20"/>
      <c r="D124" s="20"/>
      <c r="E124" s="20"/>
      <c r="F124" s="308"/>
      <c r="G124" s="308"/>
      <c r="H124" s="308"/>
      <c r="I124" s="308"/>
      <c r="J124" s="308"/>
      <c r="K124" s="20"/>
      <c r="L124" s="20"/>
      <c r="M124" s="308"/>
      <c r="N124" s="20"/>
      <c r="O124" s="20"/>
      <c r="P124" s="20"/>
      <c r="Q124" s="20"/>
      <c r="R124" s="20"/>
      <c r="S124" s="67"/>
      <c r="T124" s="67"/>
      <c r="U124" s="67"/>
      <c r="V124" s="8"/>
      <c r="W124" s="8"/>
      <c r="X124" s="8"/>
      <c r="Y124" s="8"/>
      <c r="Z124" s="8"/>
      <c r="AA124" s="8"/>
      <c r="AB124" s="8"/>
      <c r="AC124" s="8"/>
      <c r="AD124" s="8"/>
      <c r="AE124" s="8"/>
      <c r="AF124" s="8"/>
      <c r="AG124" s="8"/>
      <c r="AH124" s="8"/>
      <c r="AI124" s="8"/>
      <c r="AJ124" s="8"/>
      <c r="AK124" s="8"/>
      <c r="AL124" s="8"/>
      <c r="AM124" s="8"/>
    </row>
    <row r="125" spans="1:39" ht="15.75" customHeight="1">
      <c r="A125" s="3"/>
      <c r="B125" s="20"/>
      <c r="C125" s="20"/>
      <c r="D125" s="20"/>
      <c r="E125" s="20"/>
      <c r="F125" s="308"/>
      <c r="G125" s="308"/>
      <c r="H125" s="308"/>
      <c r="I125" s="308"/>
      <c r="J125" s="308"/>
      <c r="K125" s="20"/>
      <c r="L125" s="20"/>
      <c r="M125" s="308"/>
      <c r="N125" s="20"/>
      <c r="O125" s="20"/>
      <c r="P125" s="20"/>
      <c r="Q125" s="20"/>
      <c r="R125" s="20"/>
      <c r="S125" s="67"/>
      <c r="T125" s="67"/>
      <c r="U125" s="67"/>
      <c r="V125" s="8"/>
      <c r="W125" s="8"/>
      <c r="X125" s="8"/>
      <c r="Y125" s="8"/>
      <c r="Z125" s="8"/>
      <c r="AA125" s="8"/>
      <c r="AB125" s="8"/>
      <c r="AC125" s="8"/>
      <c r="AD125" s="8"/>
      <c r="AE125" s="8"/>
      <c r="AF125" s="8"/>
      <c r="AG125" s="8"/>
      <c r="AH125" s="8"/>
      <c r="AI125" s="8"/>
      <c r="AJ125" s="8"/>
      <c r="AK125" s="8"/>
      <c r="AL125" s="8"/>
      <c r="AM125" s="8"/>
    </row>
    <row r="126" spans="1:39" ht="15.75" customHeight="1">
      <c r="A126" s="3"/>
      <c r="B126" s="20"/>
      <c r="C126" s="20"/>
      <c r="D126" s="20"/>
      <c r="E126" s="20"/>
      <c r="F126" s="308"/>
      <c r="G126" s="308"/>
      <c r="H126" s="308"/>
      <c r="I126" s="308"/>
      <c r="J126" s="308"/>
      <c r="K126" s="20"/>
      <c r="L126" s="20"/>
      <c r="M126" s="308"/>
      <c r="N126" s="20"/>
      <c r="O126" s="20"/>
      <c r="P126" s="20"/>
      <c r="Q126" s="20"/>
      <c r="R126" s="20"/>
      <c r="S126" s="67"/>
      <c r="T126" s="67"/>
      <c r="U126" s="67"/>
      <c r="V126" s="8"/>
      <c r="W126" s="8"/>
      <c r="X126" s="8"/>
      <c r="Y126" s="8"/>
      <c r="Z126" s="8"/>
      <c r="AA126" s="8"/>
      <c r="AB126" s="8"/>
      <c r="AC126" s="8"/>
      <c r="AD126" s="8"/>
      <c r="AE126" s="8"/>
      <c r="AF126" s="8"/>
      <c r="AG126" s="8"/>
      <c r="AH126" s="8"/>
      <c r="AI126" s="8"/>
      <c r="AJ126" s="8"/>
      <c r="AK126" s="8"/>
      <c r="AL126" s="8"/>
      <c r="AM126" s="8"/>
    </row>
    <row r="127" spans="1:39" ht="15.75" customHeight="1">
      <c r="A127" s="3"/>
      <c r="B127" s="20"/>
      <c r="C127" s="20"/>
      <c r="D127" s="20"/>
      <c r="E127" s="20"/>
      <c r="F127" s="308"/>
      <c r="G127" s="308"/>
      <c r="H127" s="308"/>
      <c r="I127" s="308"/>
      <c r="J127" s="308"/>
      <c r="K127" s="20"/>
      <c r="L127" s="20"/>
      <c r="M127" s="308"/>
      <c r="N127" s="20"/>
      <c r="O127" s="20"/>
      <c r="P127" s="20"/>
      <c r="Q127" s="20"/>
      <c r="R127" s="20"/>
      <c r="S127" s="67"/>
      <c r="T127" s="67"/>
      <c r="U127" s="67"/>
      <c r="V127" s="8"/>
      <c r="W127" s="8"/>
      <c r="X127" s="8"/>
      <c r="Y127" s="8"/>
      <c r="Z127" s="8"/>
      <c r="AA127" s="8"/>
      <c r="AB127" s="8"/>
      <c r="AC127" s="8"/>
      <c r="AD127" s="8"/>
      <c r="AE127" s="8"/>
      <c r="AF127" s="8"/>
      <c r="AG127" s="8"/>
      <c r="AH127" s="8"/>
      <c r="AI127" s="8"/>
      <c r="AJ127" s="8"/>
      <c r="AK127" s="8"/>
      <c r="AL127" s="8"/>
      <c r="AM127" s="8"/>
    </row>
    <row r="128" spans="1:39" ht="15.75" customHeight="1">
      <c r="A128" s="3"/>
      <c r="B128" s="20"/>
      <c r="C128" s="20"/>
      <c r="D128" s="20"/>
      <c r="E128" s="20"/>
      <c r="F128" s="308"/>
      <c r="G128" s="308"/>
      <c r="H128" s="308"/>
      <c r="I128" s="308"/>
      <c r="J128" s="308"/>
      <c r="K128" s="20"/>
      <c r="L128" s="20"/>
      <c r="M128" s="308"/>
      <c r="N128" s="20"/>
      <c r="O128" s="20"/>
      <c r="P128" s="20"/>
      <c r="Q128" s="20"/>
      <c r="R128" s="20"/>
      <c r="S128" s="67"/>
      <c r="T128" s="67"/>
      <c r="U128" s="67"/>
      <c r="V128" s="8"/>
      <c r="W128" s="8"/>
      <c r="X128" s="8"/>
      <c r="Y128" s="8"/>
      <c r="Z128" s="8"/>
      <c r="AA128" s="8"/>
      <c r="AB128" s="8"/>
      <c r="AC128" s="8"/>
      <c r="AD128" s="8"/>
      <c r="AE128" s="8"/>
      <c r="AF128" s="8"/>
      <c r="AG128" s="8"/>
      <c r="AH128" s="8"/>
      <c r="AI128" s="8"/>
      <c r="AJ128" s="8"/>
      <c r="AK128" s="8"/>
      <c r="AL128" s="8"/>
      <c r="AM128" s="8"/>
    </row>
    <row r="129" spans="1:39" ht="15.75" customHeight="1">
      <c r="A129" s="3"/>
      <c r="B129" s="20"/>
      <c r="C129" s="20"/>
      <c r="D129" s="20"/>
      <c r="E129" s="20"/>
      <c r="F129" s="308"/>
      <c r="G129" s="308"/>
      <c r="H129" s="308"/>
      <c r="I129" s="308"/>
      <c r="J129" s="308"/>
      <c r="K129" s="20"/>
      <c r="L129" s="20"/>
      <c r="M129" s="308"/>
      <c r="N129" s="20"/>
      <c r="O129" s="20"/>
      <c r="P129" s="20"/>
      <c r="Q129" s="20"/>
      <c r="R129" s="20"/>
      <c r="S129" s="67"/>
      <c r="T129" s="67"/>
      <c r="U129" s="67"/>
      <c r="V129" s="8"/>
      <c r="W129" s="8"/>
      <c r="X129" s="8"/>
      <c r="Y129" s="8"/>
      <c r="Z129" s="8"/>
      <c r="AA129" s="8"/>
      <c r="AB129" s="8"/>
      <c r="AC129" s="8"/>
      <c r="AD129" s="8"/>
      <c r="AE129" s="8"/>
      <c r="AF129" s="8"/>
      <c r="AG129" s="8"/>
      <c r="AH129" s="8"/>
      <c r="AI129" s="8"/>
      <c r="AJ129" s="8"/>
      <c r="AK129" s="8"/>
      <c r="AL129" s="8"/>
      <c r="AM129" s="8"/>
    </row>
    <row r="130" spans="1:39" ht="15.75" customHeight="1">
      <c r="A130" s="3"/>
      <c r="B130" s="20"/>
      <c r="C130" s="20"/>
      <c r="D130" s="20"/>
      <c r="E130" s="20"/>
      <c r="F130" s="308"/>
      <c r="G130" s="308"/>
      <c r="H130" s="308"/>
      <c r="I130" s="308"/>
      <c r="J130" s="308"/>
      <c r="K130" s="20"/>
      <c r="L130" s="20"/>
      <c r="M130" s="308"/>
      <c r="N130" s="20"/>
      <c r="O130" s="20"/>
      <c r="P130" s="20"/>
      <c r="Q130" s="20"/>
      <c r="R130" s="20"/>
      <c r="S130" s="67"/>
      <c r="T130" s="67"/>
      <c r="U130" s="67"/>
      <c r="V130" s="8"/>
      <c r="W130" s="8"/>
      <c r="X130" s="8"/>
      <c r="Y130" s="8"/>
      <c r="Z130" s="8"/>
      <c r="AA130" s="8"/>
      <c r="AB130" s="8"/>
      <c r="AC130" s="8"/>
      <c r="AD130" s="8"/>
      <c r="AE130" s="8"/>
      <c r="AF130" s="8"/>
      <c r="AG130" s="8"/>
      <c r="AH130" s="8"/>
      <c r="AI130" s="8"/>
      <c r="AJ130" s="8"/>
      <c r="AK130" s="8"/>
      <c r="AL130" s="8"/>
      <c r="AM130" s="8"/>
    </row>
    <row r="131" spans="1:39" ht="15.75" customHeight="1">
      <c r="A131" s="3"/>
      <c r="B131" s="20"/>
      <c r="C131" s="20"/>
      <c r="D131" s="20"/>
      <c r="E131" s="20"/>
      <c r="F131" s="308"/>
      <c r="G131" s="308"/>
      <c r="H131" s="308"/>
      <c r="I131" s="308"/>
      <c r="J131" s="308"/>
      <c r="K131" s="20"/>
      <c r="L131" s="20"/>
      <c r="M131" s="308"/>
      <c r="N131" s="20"/>
      <c r="O131" s="20"/>
      <c r="P131" s="20"/>
      <c r="Q131" s="20"/>
      <c r="R131" s="20"/>
      <c r="S131" s="67"/>
      <c r="T131" s="67"/>
      <c r="U131" s="67"/>
      <c r="V131" s="8"/>
      <c r="W131" s="8"/>
      <c r="X131" s="8"/>
      <c r="Y131" s="8"/>
      <c r="Z131" s="8"/>
      <c r="AA131" s="8"/>
      <c r="AB131" s="8"/>
      <c r="AC131" s="8"/>
      <c r="AD131" s="8"/>
      <c r="AE131" s="8"/>
      <c r="AF131" s="8"/>
      <c r="AG131" s="8"/>
      <c r="AH131" s="8"/>
      <c r="AI131" s="8"/>
      <c r="AJ131" s="8"/>
      <c r="AK131" s="8"/>
      <c r="AL131" s="8"/>
      <c r="AM131" s="8"/>
    </row>
    <row r="132" spans="1:39" ht="15.75" customHeight="1">
      <c r="A132" s="3"/>
      <c r="B132" s="20"/>
      <c r="C132" s="20"/>
      <c r="D132" s="20"/>
      <c r="E132" s="20"/>
      <c r="F132" s="308"/>
      <c r="G132" s="308"/>
      <c r="H132" s="308"/>
      <c r="I132" s="308"/>
      <c r="J132" s="308"/>
      <c r="K132" s="20"/>
      <c r="L132" s="20"/>
      <c r="M132" s="308"/>
      <c r="N132" s="20"/>
      <c r="O132" s="20"/>
      <c r="P132" s="20"/>
      <c r="Q132" s="20"/>
      <c r="R132" s="20"/>
      <c r="S132" s="67"/>
      <c r="T132" s="67"/>
      <c r="U132" s="67"/>
      <c r="V132" s="8"/>
      <c r="W132" s="8"/>
      <c r="X132" s="8"/>
      <c r="Y132" s="8"/>
      <c r="Z132" s="8"/>
      <c r="AA132" s="8"/>
      <c r="AB132" s="8"/>
      <c r="AC132" s="8"/>
      <c r="AD132" s="8"/>
      <c r="AE132" s="8"/>
      <c r="AF132" s="8"/>
      <c r="AG132" s="8"/>
      <c r="AH132" s="8"/>
      <c r="AI132" s="8"/>
      <c r="AJ132" s="8"/>
      <c r="AK132" s="8"/>
      <c r="AL132" s="8"/>
      <c r="AM132" s="8"/>
    </row>
    <row r="133" spans="1:39" ht="15.75" customHeight="1">
      <c r="A133" s="3"/>
      <c r="B133" s="20"/>
      <c r="C133" s="20"/>
      <c r="D133" s="20"/>
      <c r="E133" s="20"/>
      <c r="F133" s="308"/>
      <c r="G133" s="308"/>
      <c r="H133" s="308"/>
      <c r="I133" s="308"/>
      <c r="J133" s="308"/>
      <c r="K133" s="20"/>
      <c r="L133" s="20"/>
      <c r="M133" s="308"/>
      <c r="N133" s="20"/>
      <c r="O133" s="20"/>
      <c r="P133" s="20"/>
      <c r="Q133" s="20"/>
      <c r="R133" s="20"/>
      <c r="S133" s="67"/>
      <c r="T133" s="67"/>
      <c r="U133" s="67"/>
      <c r="V133" s="8"/>
      <c r="W133" s="8"/>
      <c r="X133" s="8"/>
      <c r="Y133" s="8"/>
      <c r="Z133" s="8"/>
      <c r="AA133" s="8"/>
      <c r="AB133" s="8"/>
      <c r="AC133" s="8"/>
      <c r="AD133" s="8"/>
      <c r="AE133" s="8"/>
      <c r="AF133" s="8"/>
      <c r="AG133" s="8"/>
      <c r="AH133" s="8"/>
      <c r="AI133" s="8"/>
      <c r="AJ133" s="8"/>
      <c r="AK133" s="8"/>
      <c r="AL133" s="8"/>
      <c r="AM133" s="8"/>
    </row>
    <row r="134" spans="1:39" ht="15.75" customHeight="1">
      <c r="A134" s="3"/>
      <c r="B134" s="20"/>
      <c r="C134" s="20"/>
      <c r="D134" s="20"/>
      <c r="E134" s="20"/>
      <c r="F134" s="308"/>
      <c r="G134" s="308"/>
      <c r="H134" s="308"/>
      <c r="I134" s="308"/>
      <c r="J134" s="308"/>
      <c r="K134" s="20"/>
      <c r="L134" s="20"/>
      <c r="M134" s="308"/>
      <c r="N134" s="20"/>
      <c r="O134" s="20"/>
      <c r="P134" s="20"/>
      <c r="Q134" s="20"/>
      <c r="R134" s="20"/>
      <c r="S134" s="67"/>
      <c r="T134" s="67"/>
      <c r="U134" s="67"/>
      <c r="V134" s="8"/>
      <c r="W134" s="8"/>
      <c r="X134" s="8"/>
      <c r="Y134" s="8"/>
      <c r="Z134" s="8"/>
      <c r="AA134" s="8"/>
      <c r="AB134" s="8"/>
      <c r="AC134" s="8"/>
      <c r="AD134" s="8"/>
      <c r="AE134" s="8"/>
      <c r="AF134" s="8"/>
      <c r="AG134" s="8"/>
      <c r="AH134" s="8"/>
      <c r="AI134" s="8"/>
      <c r="AJ134" s="8"/>
      <c r="AK134" s="8"/>
      <c r="AL134" s="8"/>
      <c r="AM134" s="8"/>
    </row>
    <row r="135" spans="1:39" ht="15.75" customHeight="1">
      <c r="A135" s="3"/>
      <c r="B135" s="20"/>
      <c r="C135" s="20"/>
      <c r="D135" s="20"/>
      <c r="E135" s="20"/>
      <c r="F135" s="308"/>
      <c r="G135" s="308"/>
      <c r="H135" s="308"/>
      <c r="I135" s="308"/>
      <c r="J135" s="308"/>
      <c r="K135" s="20"/>
      <c r="L135" s="20"/>
      <c r="M135" s="308"/>
      <c r="N135" s="20"/>
      <c r="O135" s="20"/>
      <c r="P135" s="20"/>
      <c r="Q135" s="20"/>
      <c r="R135" s="20"/>
      <c r="S135" s="67"/>
      <c r="T135" s="67"/>
      <c r="U135" s="67"/>
      <c r="V135" s="8"/>
      <c r="W135" s="8"/>
      <c r="X135" s="8"/>
      <c r="Y135" s="8"/>
      <c r="Z135" s="8"/>
      <c r="AA135" s="8"/>
      <c r="AB135" s="8"/>
      <c r="AC135" s="8"/>
      <c r="AD135" s="8"/>
      <c r="AE135" s="8"/>
      <c r="AF135" s="8"/>
      <c r="AG135" s="8"/>
      <c r="AH135" s="8"/>
      <c r="AI135" s="8"/>
      <c r="AJ135" s="8"/>
      <c r="AK135" s="8"/>
      <c r="AL135" s="8"/>
      <c r="AM135" s="8"/>
    </row>
    <row r="136" spans="1:39" ht="15.75" customHeight="1">
      <c r="A136" s="3"/>
      <c r="B136" s="20"/>
      <c r="C136" s="20"/>
      <c r="D136" s="20"/>
      <c r="E136" s="20"/>
      <c r="F136" s="308"/>
      <c r="G136" s="308"/>
      <c r="H136" s="308"/>
      <c r="I136" s="308"/>
      <c r="J136" s="308"/>
      <c r="K136" s="20"/>
      <c r="L136" s="20"/>
      <c r="M136" s="308"/>
      <c r="N136" s="20"/>
      <c r="O136" s="20"/>
      <c r="P136" s="20"/>
      <c r="Q136" s="20"/>
      <c r="R136" s="20"/>
      <c r="S136" s="67"/>
      <c r="T136" s="67"/>
      <c r="U136" s="67"/>
      <c r="V136" s="8"/>
      <c r="W136" s="8"/>
      <c r="X136" s="8"/>
      <c r="Y136" s="8"/>
      <c r="Z136" s="8"/>
      <c r="AA136" s="8"/>
      <c r="AB136" s="8"/>
      <c r="AC136" s="8"/>
      <c r="AD136" s="8"/>
      <c r="AE136" s="8"/>
      <c r="AF136" s="8"/>
      <c r="AG136" s="8"/>
      <c r="AH136" s="8"/>
      <c r="AI136" s="8"/>
      <c r="AJ136" s="8"/>
      <c r="AK136" s="8"/>
      <c r="AL136" s="8"/>
      <c r="AM136" s="8"/>
    </row>
    <row r="137" spans="1:39" ht="15.75" customHeight="1">
      <c r="A137" s="3"/>
      <c r="B137" s="20"/>
      <c r="C137" s="20"/>
      <c r="D137" s="20"/>
      <c r="E137" s="20"/>
      <c r="F137" s="308"/>
      <c r="G137" s="308"/>
      <c r="H137" s="308"/>
      <c r="I137" s="308"/>
      <c r="J137" s="308"/>
      <c r="K137" s="20"/>
      <c r="L137" s="20"/>
      <c r="M137" s="308"/>
      <c r="N137" s="20"/>
      <c r="O137" s="20"/>
      <c r="P137" s="20"/>
      <c r="Q137" s="20"/>
      <c r="R137" s="20"/>
      <c r="S137" s="67"/>
      <c r="T137" s="67"/>
      <c r="U137" s="67"/>
      <c r="V137" s="8"/>
      <c r="W137" s="8"/>
      <c r="X137" s="8"/>
      <c r="Y137" s="8"/>
      <c r="Z137" s="8"/>
      <c r="AA137" s="8"/>
      <c r="AB137" s="8"/>
      <c r="AC137" s="8"/>
      <c r="AD137" s="8"/>
      <c r="AE137" s="8"/>
      <c r="AF137" s="8"/>
      <c r="AG137" s="8"/>
      <c r="AH137" s="8"/>
      <c r="AI137" s="8"/>
      <c r="AJ137" s="8"/>
      <c r="AK137" s="8"/>
      <c r="AL137" s="8"/>
      <c r="AM137" s="8"/>
    </row>
    <row r="138" spans="1:39" ht="15.75" customHeight="1">
      <c r="A138" s="3"/>
      <c r="B138" s="20"/>
      <c r="C138" s="20"/>
      <c r="D138" s="20"/>
      <c r="E138" s="20"/>
      <c r="F138" s="308"/>
      <c r="G138" s="308"/>
      <c r="H138" s="308"/>
      <c r="I138" s="308"/>
      <c r="J138" s="308"/>
      <c r="K138" s="20"/>
      <c r="L138" s="20"/>
      <c r="M138" s="308"/>
      <c r="N138" s="20"/>
      <c r="O138" s="20"/>
      <c r="P138" s="20"/>
      <c r="Q138" s="20"/>
      <c r="R138" s="20"/>
      <c r="S138" s="67"/>
      <c r="T138" s="67"/>
      <c r="U138" s="67"/>
      <c r="V138" s="8"/>
      <c r="W138" s="8"/>
      <c r="X138" s="8"/>
      <c r="Y138" s="8"/>
      <c r="Z138" s="8"/>
      <c r="AA138" s="8"/>
      <c r="AB138" s="8"/>
      <c r="AC138" s="8"/>
      <c r="AD138" s="8"/>
      <c r="AE138" s="8"/>
      <c r="AF138" s="8"/>
      <c r="AG138" s="8"/>
      <c r="AH138" s="8"/>
      <c r="AI138" s="8"/>
      <c r="AJ138" s="8"/>
      <c r="AK138" s="8"/>
      <c r="AL138" s="8"/>
      <c r="AM138" s="8"/>
    </row>
    <row r="139" spans="1:39" ht="15.75" customHeight="1">
      <c r="A139" s="3"/>
      <c r="B139" s="20"/>
      <c r="C139" s="20"/>
      <c r="D139" s="20"/>
      <c r="E139" s="20"/>
      <c r="F139" s="308"/>
      <c r="G139" s="308"/>
      <c r="H139" s="308"/>
      <c r="I139" s="308"/>
      <c r="J139" s="308"/>
      <c r="K139" s="20"/>
      <c r="L139" s="20"/>
      <c r="M139" s="308"/>
      <c r="N139" s="20"/>
      <c r="O139" s="20"/>
      <c r="P139" s="20"/>
      <c r="Q139" s="20"/>
      <c r="R139" s="20"/>
      <c r="S139" s="67"/>
      <c r="T139" s="67"/>
      <c r="U139" s="67"/>
      <c r="V139" s="8"/>
      <c r="W139" s="8"/>
      <c r="X139" s="8"/>
      <c r="Y139" s="8"/>
      <c r="Z139" s="8"/>
      <c r="AA139" s="8"/>
      <c r="AB139" s="8"/>
      <c r="AC139" s="8"/>
      <c r="AD139" s="8"/>
      <c r="AE139" s="8"/>
      <c r="AF139" s="8"/>
      <c r="AG139" s="8"/>
      <c r="AH139" s="8"/>
      <c r="AI139" s="8"/>
      <c r="AJ139" s="8"/>
      <c r="AK139" s="8"/>
      <c r="AL139" s="8"/>
      <c r="AM139" s="8"/>
    </row>
    <row r="140" spans="1:39" ht="15.75" customHeight="1">
      <c r="A140" s="3"/>
      <c r="B140" s="20"/>
      <c r="C140" s="20"/>
      <c r="D140" s="20"/>
      <c r="E140" s="20"/>
      <c r="F140" s="308"/>
      <c r="G140" s="308"/>
      <c r="H140" s="308"/>
      <c r="I140" s="308"/>
      <c r="J140" s="308"/>
      <c r="K140" s="20"/>
      <c r="L140" s="20"/>
      <c r="M140" s="308"/>
      <c r="N140" s="20"/>
      <c r="O140" s="20"/>
      <c r="P140" s="20"/>
      <c r="Q140" s="20"/>
      <c r="R140" s="20"/>
      <c r="S140" s="67"/>
      <c r="T140" s="67"/>
      <c r="U140" s="67"/>
      <c r="V140" s="8"/>
      <c r="W140" s="8"/>
      <c r="X140" s="8"/>
      <c r="Y140" s="8"/>
      <c r="Z140" s="8"/>
      <c r="AA140" s="8"/>
      <c r="AB140" s="8"/>
      <c r="AC140" s="8"/>
      <c r="AD140" s="8"/>
      <c r="AE140" s="8"/>
      <c r="AF140" s="8"/>
      <c r="AG140" s="8"/>
      <c r="AH140" s="8"/>
      <c r="AI140" s="8"/>
      <c r="AJ140" s="8"/>
      <c r="AK140" s="8"/>
      <c r="AL140" s="8"/>
      <c r="AM140" s="8"/>
    </row>
    <row r="141" spans="1:39" ht="15.75" customHeight="1">
      <c r="A141" s="3"/>
      <c r="B141" s="20"/>
      <c r="C141" s="20"/>
      <c r="D141" s="20"/>
      <c r="E141" s="20"/>
      <c r="F141" s="308"/>
      <c r="G141" s="308"/>
      <c r="H141" s="308"/>
      <c r="I141" s="308"/>
      <c r="J141" s="308"/>
      <c r="K141" s="20"/>
      <c r="L141" s="20"/>
      <c r="M141" s="308"/>
      <c r="N141" s="20"/>
      <c r="O141" s="20"/>
      <c r="P141" s="20"/>
      <c r="Q141" s="20"/>
      <c r="R141" s="20"/>
      <c r="S141" s="67"/>
      <c r="T141" s="67"/>
      <c r="U141" s="67"/>
      <c r="V141" s="8"/>
      <c r="W141" s="8"/>
      <c r="X141" s="8"/>
      <c r="Y141" s="8"/>
      <c r="Z141" s="8"/>
      <c r="AA141" s="8"/>
      <c r="AB141" s="8"/>
      <c r="AC141" s="8"/>
      <c r="AD141" s="8"/>
      <c r="AE141" s="8"/>
      <c r="AF141" s="8"/>
      <c r="AG141" s="8"/>
      <c r="AH141" s="8"/>
      <c r="AI141" s="8"/>
      <c r="AJ141" s="8"/>
      <c r="AK141" s="8"/>
      <c r="AL141" s="8"/>
      <c r="AM141" s="8"/>
    </row>
    <row r="142" spans="1:39" ht="15.75" customHeight="1">
      <c r="A142" s="3"/>
      <c r="B142" s="20"/>
      <c r="C142" s="20"/>
      <c r="D142" s="20"/>
      <c r="E142" s="20"/>
      <c r="F142" s="308"/>
      <c r="G142" s="308"/>
      <c r="H142" s="308"/>
      <c r="I142" s="308"/>
      <c r="J142" s="308"/>
      <c r="K142" s="20"/>
      <c r="L142" s="20"/>
      <c r="M142" s="308"/>
      <c r="N142" s="20"/>
      <c r="O142" s="20"/>
      <c r="P142" s="20"/>
      <c r="Q142" s="20"/>
      <c r="R142" s="20"/>
      <c r="S142" s="67"/>
      <c r="T142" s="67"/>
      <c r="U142" s="67"/>
      <c r="V142" s="8"/>
      <c r="W142" s="8"/>
      <c r="X142" s="8"/>
      <c r="Y142" s="8"/>
      <c r="Z142" s="8"/>
      <c r="AA142" s="8"/>
      <c r="AB142" s="8"/>
      <c r="AC142" s="8"/>
      <c r="AD142" s="8"/>
      <c r="AE142" s="8"/>
      <c r="AF142" s="8"/>
      <c r="AG142" s="8"/>
      <c r="AH142" s="8"/>
      <c r="AI142" s="8"/>
      <c r="AJ142" s="8"/>
      <c r="AK142" s="8"/>
      <c r="AL142" s="8"/>
      <c r="AM142" s="8"/>
    </row>
    <row r="143" spans="1:39" ht="15.75" customHeight="1">
      <c r="A143" s="3"/>
      <c r="B143" s="20"/>
      <c r="C143" s="20"/>
      <c r="D143" s="20"/>
      <c r="E143" s="20"/>
      <c r="F143" s="308"/>
      <c r="G143" s="308"/>
      <c r="H143" s="308"/>
      <c r="I143" s="308"/>
      <c r="J143" s="308"/>
      <c r="K143" s="20"/>
      <c r="L143" s="20"/>
      <c r="M143" s="308"/>
      <c r="N143" s="20"/>
      <c r="O143" s="20"/>
      <c r="P143" s="20"/>
      <c r="Q143" s="20"/>
      <c r="R143" s="20"/>
      <c r="S143" s="67"/>
      <c r="T143" s="67"/>
      <c r="U143" s="67"/>
      <c r="V143" s="8"/>
      <c r="W143" s="8"/>
      <c r="X143" s="8"/>
      <c r="Y143" s="8"/>
      <c r="Z143" s="8"/>
      <c r="AA143" s="8"/>
      <c r="AB143" s="8"/>
      <c r="AC143" s="8"/>
      <c r="AD143" s="8"/>
      <c r="AE143" s="8"/>
      <c r="AF143" s="8"/>
      <c r="AG143" s="8"/>
      <c r="AH143" s="8"/>
      <c r="AI143" s="8"/>
      <c r="AJ143" s="8"/>
      <c r="AK143" s="8"/>
      <c r="AL143" s="8"/>
      <c r="AM143" s="8"/>
    </row>
    <row r="144" spans="1:39" ht="15.75" customHeight="1">
      <c r="A144" s="3"/>
      <c r="B144" s="20"/>
      <c r="C144" s="20"/>
      <c r="D144" s="20"/>
      <c r="E144" s="20"/>
      <c r="F144" s="308"/>
      <c r="G144" s="308"/>
      <c r="H144" s="308"/>
      <c r="I144" s="308"/>
      <c r="J144" s="308"/>
      <c r="K144" s="20"/>
      <c r="L144" s="20"/>
      <c r="M144" s="308"/>
      <c r="N144" s="20"/>
      <c r="O144" s="20"/>
      <c r="P144" s="20"/>
      <c r="Q144" s="20"/>
      <c r="R144" s="20"/>
      <c r="S144" s="67"/>
      <c r="T144" s="67"/>
      <c r="U144" s="67"/>
      <c r="V144" s="8"/>
      <c r="W144" s="8"/>
      <c r="X144" s="8"/>
      <c r="Y144" s="8"/>
      <c r="Z144" s="8"/>
      <c r="AA144" s="8"/>
      <c r="AB144" s="8"/>
      <c r="AC144" s="8"/>
      <c r="AD144" s="8"/>
      <c r="AE144" s="8"/>
      <c r="AF144" s="8"/>
      <c r="AG144" s="8"/>
      <c r="AH144" s="8"/>
      <c r="AI144" s="8"/>
      <c r="AJ144" s="8"/>
      <c r="AK144" s="8"/>
      <c r="AL144" s="8"/>
      <c r="AM144" s="8"/>
    </row>
    <row r="145" spans="1:39" ht="15.75" customHeight="1">
      <c r="A145" s="3"/>
      <c r="B145" s="20"/>
      <c r="C145" s="20"/>
      <c r="D145" s="20"/>
      <c r="E145" s="20"/>
      <c r="F145" s="308"/>
      <c r="G145" s="308"/>
      <c r="H145" s="308"/>
      <c r="I145" s="308"/>
      <c r="J145" s="308"/>
      <c r="K145" s="20"/>
      <c r="L145" s="20"/>
      <c r="M145" s="308"/>
      <c r="N145" s="20"/>
      <c r="O145" s="20"/>
      <c r="P145" s="20"/>
      <c r="Q145" s="20"/>
      <c r="R145" s="20"/>
      <c r="S145" s="67"/>
      <c r="T145" s="67"/>
      <c r="U145" s="67"/>
      <c r="V145" s="8"/>
      <c r="W145" s="8"/>
      <c r="X145" s="8"/>
      <c r="Y145" s="8"/>
      <c r="Z145" s="8"/>
      <c r="AA145" s="8"/>
      <c r="AB145" s="8"/>
      <c r="AC145" s="8"/>
      <c r="AD145" s="8"/>
      <c r="AE145" s="8"/>
      <c r="AF145" s="8"/>
      <c r="AG145" s="8"/>
      <c r="AH145" s="8"/>
      <c r="AI145" s="8"/>
      <c r="AJ145" s="8"/>
      <c r="AK145" s="8"/>
      <c r="AL145" s="8"/>
      <c r="AM145" s="8"/>
    </row>
    <row r="146" spans="1:39" ht="15.75" customHeight="1">
      <c r="A146" s="3"/>
      <c r="B146" s="20"/>
      <c r="C146" s="20"/>
      <c r="D146" s="20"/>
      <c r="E146" s="20"/>
      <c r="F146" s="308"/>
      <c r="G146" s="308"/>
      <c r="H146" s="308"/>
      <c r="I146" s="308"/>
      <c r="J146" s="308"/>
      <c r="K146" s="20"/>
      <c r="L146" s="20"/>
      <c r="M146" s="308"/>
      <c r="N146" s="20"/>
      <c r="O146" s="20"/>
      <c r="P146" s="20"/>
      <c r="Q146" s="20"/>
      <c r="R146" s="20"/>
      <c r="S146" s="67"/>
      <c r="T146" s="67"/>
      <c r="U146" s="67"/>
      <c r="V146" s="8"/>
      <c r="W146" s="8"/>
      <c r="X146" s="8"/>
      <c r="Y146" s="8"/>
      <c r="Z146" s="8"/>
      <c r="AA146" s="8"/>
      <c r="AB146" s="8"/>
      <c r="AC146" s="8"/>
      <c r="AD146" s="8"/>
      <c r="AE146" s="8"/>
      <c r="AF146" s="8"/>
      <c r="AG146" s="8"/>
      <c r="AH146" s="8"/>
      <c r="AI146" s="8"/>
      <c r="AJ146" s="8"/>
      <c r="AK146" s="8"/>
      <c r="AL146" s="8"/>
      <c r="AM146" s="8"/>
    </row>
    <row r="147" spans="1:39" ht="15.75" customHeight="1">
      <c r="A147" s="3"/>
      <c r="B147" s="20"/>
      <c r="C147" s="20"/>
      <c r="D147" s="20"/>
      <c r="E147" s="20"/>
      <c r="F147" s="308"/>
      <c r="G147" s="308"/>
      <c r="H147" s="308"/>
      <c r="I147" s="308"/>
      <c r="J147" s="308"/>
      <c r="K147" s="20"/>
      <c r="L147" s="20"/>
      <c r="M147" s="308"/>
      <c r="N147" s="20"/>
      <c r="O147" s="20"/>
      <c r="P147" s="20"/>
      <c r="Q147" s="20"/>
      <c r="R147" s="20"/>
      <c r="S147" s="67"/>
      <c r="T147" s="67"/>
      <c r="U147" s="67"/>
      <c r="V147" s="8"/>
      <c r="W147" s="8"/>
      <c r="X147" s="8"/>
      <c r="Y147" s="8"/>
      <c r="Z147" s="8"/>
      <c r="AA147" s="8"/>
      <c r="AB147" s="8"/>
      <c r="AC147" s="8"/>
      <c r="AD147" s="8"/>
      <c r="AE147" s="8"/>
      <c r="AF147" s="8"/>
      <c r="AG147" s="8"/>
      <c r="AH147" s="8"/>
      <c r="AI147" s="8"/>
      <c r="AJ147" s="8"/>
      <c r="AK147" s="8"/>
      <c r="AL147" s="8"/>
      <c r="AM147" s="8"/>
    </row>
    <row r="148" spans="1:39" ht="15.75" customHeight="1">
      <c r="A148" s="3"/>
      <c r="B148" s="20"/>
      <c r="C148" s="20"/>
      <c r="D148" s="20"/>
      <c r="E148" s="20"/>
      <c r="F148" s="308"/>
      <c r="G148" s="308"/>
      <c r="H148" s="308"/>
      <c r="I148" s="308"/>
      <c r="J148" s="308"/>
      <c r="K148" s="20"/>
      <c r="L148" s="20"/>
      <c r="M148" s="308"/>
      <c r="N148" s="20"/>
      <c r="O148" s="20"/>
      <c r="P148" s="20"/>
      <c r="Q148" s="20"/>
      <c r="R148" s="20"/>
      <c r="S148" s="67"/>
      <c r="T148" s="67"/>
      <c r="U148" s="67"/>
      <c r="V148" s="8"/>
      <c r="W148" s="8"/>
      <c r="X148" s="8"/>
      <c r="Y148" s="8"/>
      <c r="Z148" s="8"/>
      <c r="AA148" s="8"/>
      <c r="AB148" s="8"/>
      <c r="AC148" s="8"/>
      <c r="AD148" s="8"/>
      <c r="AE148" s="8"/>
      <c r="AF148" s="8"/>
      <c r="AG148" s="8"/>
      <c r="AH148" s="8"/>
      <c r="AI148" s="8"/>
      <c r="AJ148" s="8"/>
      <c r="AK148" s="8"/>
      <c r="AL148" s="8"/>
      <c r="AM148" s="8"/>
    </row>
    <row r="149" spans="1:39" ht="15.75" customHeight="1">
      <c r="A149" s="3"/>
      <c r="B149" s="20"/>
      <c r="C149" s="20"/>
      <c r="D149" s="20"/>
      <c r="E149" s="20"/>
      <c r="F149" s="308"/>
      <c r="G149" s="308"/>
      <c r="H149" s="308"/>
      <c r="I149" s="308"/>
      <c r="J149" s="308"/>
      <c r="K149" s="20"/>
      <c r="L149" s="20"/>
      <c r="M149" s="308"/>
      <c r="N149" s="20"/>
      <c r="O149" s="20"/>
      <c r="P149" s="20"/>
      <c r="Q149" s="20"/>
      <c r="R149" s="20"/>
      <c r="S149" s="67"/>
      <c r="T149" s="67"/>
      <c r="U149" s="67"/>
      <c r="V149" s="8"/>
      <c r="W149" s="8"/>
      <c r="X149" s="8"/>
      <c r="Y149" s="8"/>
      <c r="Z149" s="8"/>
      <c r="AA149" s="8"/>
      <c r="AB149" s="8"/>
      <c r="AC149" s="8"/>
      <c r="AD149" s="8"/>
      <c r="AE149" s="8"/>
      <c r="AF149" s="8"/>
      <c r="AG149" s="8"/>
      <c r="AH149" s="8"/>
      <c r="AI149" s="8"/>
      <c r="AJ149" s="8"/>
      <c r="AK149" s="8"/>
      <c r="AL149" s="8"/>
      <c r="AM149" s="8"/>
    </row>
    <row r="150" spans="1:39">
      <c r="A150" s="3"/>
      <c r="B150" s="20"/>
      <c r="C150" s="20"/>
      <c r="D150" s="20"/>
      <c r="E150" s="20"/>
      <c r="F150" s="308"/>
      <c r="G150" s="308"/>
      <c r="H150" s="308"/>
      <c r="I150" s="308"/>
      <c r="J150" s="308"/>
      <c r="K150" s="20"/>
      <c r="L150" s="20"/>
      <c r="M150" s="308"/>
      <c r="N150" s="20"/>
      <c r="O150" s="20"/>
      <c r="P150" s="20"/>
      <c r="Q150" s="20"/>
      <c r="R150" s="20"/>
      <c r="S150" s="67"/>
      <c r="T150" s="67"/>
      <c r="U150" s="67"/>
      <c r="V150" s="8"/>
      <c r="W150" s="8"/>
      <c r="X150" s="8"/>
      <c r="Y150" s="8"/>
      <c r="Z150" s="8"/>
      <c r="AA150" s="8"/>
      <c r="AB150" s="8"/>
      <c r="AC150" s="8"/>
      <c r="AD150" s="8"/>
      <c r="AE150" s="8"/>
      <c r="AF150" s="8"/>
      <c r="AG150" s="8"/>
      <c r="AH150" s="8"/>
      <c r="AI150" s="8"/>
      <c r="AJ150" s="8"/>
      <c r="AK150" s="8"/>
      <c r="AL150" s="8"/>
      <c r="AM150" s="8"/>
    </row>
    <row r="151" spans="1:39">
      <c r="A151" s="3"/>
      <c r="B151" s="20"/>
      <c r="C151" s="20"/>
      <c r="D151" s="20"/>
      <c r="E151" s="20"/>
      <c r="F151" s="308"/>
      <c r="G151" s="308"/>
      <c r="H151" s="308"/>
      <c r="I151" s="308"/>
      <c r="J151" s="308"/>
      <c r="K151" s="20"/>
      <c r="L151" s="20"/>
      <c r="M151" s="308"/>
      <c r="N151" s="20"/>
      <c r="O151" s="20"/>
      <c r="P151" s="20"/>
      <c r="Q151" s="20"/>
      <c r="R151" s="20"/>
      <c r="S151" s="67"/>
      <c r="T151" s="67"/>
      <c r="U151" s="67"/>
      <c r="V151" s="8"/>
      <c r="W151" s="8"/>
      <c r="X151" s="8"/>
      <c r="Y151" s="8"/>
      <c r="Z151" s="8"/>
      <c r="AA151" s="8"/>
      <c r="AB151" s="8"/>
      <c r="AC151" s="8"/>
      <c r="AD151" s="8"/>
      <c r="AE151" s="8"/>
      <c r="AF151" s="8"/>
      <c r="AG151" s="8"/>
      <c r="AH151" s="8"/>
      <c r="AI151" s="8"/>
      <c r="AJ151" s="8"/>
      <c r="AK151" s="8"/>
      <c r="AL151" s="8"/>
      <c r="AM151" s="8"/>
    </row>
    <row r="152" spans="1:39">
      <c r="A152" s="3"/>
      <c r="B152" s="20"/>
      <c r="C152" s="20"/>
      <c r="D152" s="20"/>
      <c r="E152" s="20"/>
      <c r="F152" s="308"/>
      <c r="G152" s="308"/>
      <c r="H152" s="308"/>
      <c r="I152" s="308"/>
      <c r="J152" s="308"/>
      <c r="K152" s="20"/>
      <c r="L152" s="20"/>
      <c r="M152" s="308"/>
      <c r="N152" s="20"/>
      <c r="O152" s="20"/>
      <c r="P152" s="20"/>
      <c r="Q152" s="20"/>
      <c r="R152" s="20"/>
      <c r="S152" s="67"/>
      <c r="T152" s="67"/>
      <c r="U152" s="67"/>
      <c r="V152" s="8"/>
      <c r="W152" s="8"/>
      <c r="X152" s="8"/>
      <c r="Y152" s="8"/>
      <c r="Z152" s="8"/>
      <c r="AA152" s="8"/>
      <c r="AB152" s="8"/>
      <c r="AC152" s="8"/>
      <c r="AD152" s="8"/>
      <c r="AE152" s="8"/>
      <c r="AF152" s="8"/>
      <c r="AG152" s="8"/>
      <c r="AH152" s="8"/>
      <c r="AI152" s="8"/>
      <c r="AJ152" s="8"/>
      <c r="AK152" s="8"/>
      <c r="AL152" s="8"/>
      <c r="AM152" s="8"/>
    </row>
    <row r="153" spans="1:39">
      <c r="A153" s="3"/>
      <c r="B153" s="20"/>
      <c r="C153" s="20"/>
      <c r="D153" s="20"/>
      <c r="E153" s="20"/>
      <c r="F153" s="308"/>
      <c r="G153" s="308"/>
      <c r="H153" s="308"/>
      <c r="I153" s="308"/>
      <c r="J153" s="308"/>
      <c r="K153" s="20"/>
      <c r="L153" s="20"/>
      <c r="M153" s="308"/>
      <c r="N153" s="20"/>
      <c r="O153" s="20"/>
      <c r="P153" s="20"/>
      <c r="Q153" s="20"/>
      <c r="R153" s="20"/>
      <c r="S153" s="67"/>
      <c r="T153" s="67"/>
      <c r="U153" s="67"/>
      <c r="V153" s="8"/>
      <c r="W153" s="8"/>
      <c r="X153" s="8"/>
      <c r="Y153" s="8"/>
      <c r="Z153" s="8"/>
      <c r="AA153" s="8"/>
      <c r="AB153" s="8"/>
      <c r="AC153" s="8"/>
      <c r="AD153" s="8"/>
      <c r="AE153" s="8"/>
      <c r="AF153" s="8"/>
      <c r="AG153" s="8"/>
      <c r="AH153" s="8"/>
      <c r="AI153" s="8"/>
      <c r="AJ153" s="8"/>
      <c r="AK153" s="8"/>
      <c r="AL153" s="8"/>
      <c r="AM153" s="8"/>
    </row>
    <row r="154" spans="1:39">
      <c r="A154" s="3"/>
      <c r="B154" s="20"/>
      <c r="C154" s="20"/>
      <c r="D154" s="20"/>
      <c r="E154" s="20"/>
      <c r="F154" s="308"/>
      <c r="G154" s="308"/>
      <c r="H154" s="308"/>
      <c r="I154" s="308"/>
      <c r="J154" s="308"/>
      <c r="K154" s="20"/>
      <c r="L154" s="20"/>
      <c r="M154" s="308"/>
      <c r="N154" s="20"/>
      <c r="O154" s="20"/>
      <c r="P154" s="20"/>
      <c r="Q154" s="20"/>
      <c r="R154" s="20"/>
      <c r="S154" s="67"/>
      <c r="T154" s="67"/>
      <c r="U154" s="67"/>
      <c r="V154" s="8"/>
      <c r="W154" s="8"/>
      <c r="X154" s="8"/>
      <c r="Y154" s="8"/>
      <c r="Z154" s="8"/>
      <c r="AA154" s="8"/>
      <c r="AB154" s="8"/>
      <c r="AC154" s="8"/>
      <c r="AD154" s="8"/>
      <c r="AE154" s="8"/>
      <c r="AF154" s="8"/>
      <c r="AG154" s="8"/>
      <c r="AH154" s="8"/>
      <c r="AI154" s="8"/>
      <c r="AJ154" s="8"/>
      <c r="AK154" s="8"/>
      <c r="AL154" s="8"/>
      <c r="AM154" s="8"/>
    </row>
    <row r="155" spans="1:39">
      <c r="A155" s="3"/>
      <c r="B155" s="20"/>
      <c r="C155" s="20"/>
      <c r="D155" s="20"/>
      <c r="E155" s="20"/>
      <c r="F155" s="308"/>
      <c r="G155" s="308"/>
      <c r="H155" s="308"/>
      <c r="I155" s="308"/>
      <c r="J155" s="308"/>
      <c r="K155" s="20"/>
      <c r="L155" s="20"/>
      <c r="M155" s="308"/>
      <c r="N155" s="20"/>
      <c r="O155" s="20"/>
      <c r="P155" s="20"/>
      <c r="Q155" s="20"/>
      <c r="R155" s="20"/>
      <c r="S155" s="67"/>
      <c r="T155" s="67"/>
      <c r="U155" s="67"/>
      <c r="V155" s="8"/>
      <c r="W155" s="8"/>
      <c r="X155" s="8"/>
      <c r="Y155" s="8"/>
      <c r="Z155" s="8"/>
      <c r="AA155" s="8"/>
      <c r="AB155" s="8"/>
      <c r="AC155" s="8"/>
      <c r="AD155" s="8"/>
      <c r="AE155" s="8"/>
      <c r="AF155" s="8"/>
      <c r="AG155" s="8"/>
      <c r="AH155" s="8"/>
      <c r="AI155" s="8"/>
      <c r="AJ155" s="8"/>
      <c r="AK155" s="8"/>
      <c r="AL155" s="8"/>
      <c r="AM155" s="8"/>
    </row>
    <row r="156" spans="1:39">
      <c r="A156" s="3"/>
      <c r="B156" s="20"/>
      <c r="C156" s="20"/>
      <c r="D156" s="20"/>
      <c r="E156" s="20"/>
      <c r="F156" s="308"/>
      <c r="G156" s="308"/>
      <c r="H156" s="308"/>
      <c r="I156" s="308"/>
      <c r="J156" s="308"/>
      <c r="K156" s="20"/>
      <c r="L156" s="20"/>
      <c r="M156" s="308"/>
      <c r="N156" s="20"/>
      <c r="O156" s="20"/>
      <c r="P156" s="20"/>
      <c r="Q156" s="20"/>
      <c r="R156" s="20"/>
      <c r="S156" s="67"/>
      <c r="T156" s="67"/>
      <c r="U156" s="67"/>
      <c r="V156" s="8"/>
      <c r="W156" s="8"/>
      <c r="X156" s="8"/>
      <c r="Y156" s="8"/>
      <c r="Z156" s="8"/>
      <c r="AA156" s="8"/>
      <c r="AB156" s="8"/>
      <c r="AC156" s="8"/>
      <c r="AD156" s="8"/>
      <c r="AE156" s="8"/>
      <c r="AF156" s="8"/>
      <c r="AG156" s="8"/>
      <c r="AH156" s="8"/>
      <c r="AI156" s="8"/>
      <c r="AJ156" s="8"/>
      <c r="AK156" s="8"/>
      <c r="AL156" s="8"/>
      <c r="AM156" s="8"/>
    </row>
    <row r="157" spans="1:39">
      <c r="A157" s="3"/>
      <c r="B157" s="20"/>
      <c r="C157" s="20"/>
      <c r="D157" s="20"/>
      <c r="E157" s="20"/>
      <c r="F157" s="308"/>
      <c r="G157" s="308"/>
      <c r="H157" s="308"/>
      <c r="I157" s="308"/>
      <c r="J157" s="308"/>
      <c r="K157" s="20"/>
      <c r="L157" s="20"/>
      <c r="M157" s="308"/>
      <c r="N157" s="20"/>
      <c r="O157" s="20"/>
      <c r="P157" s="20"/>
      <c r="Q157" s="20"/>
      <c r="R157" s="20"/>
      <c r="S157" s="67"/>
      <c r="T157" s="67"/>
      <c r="U157" s="67"/>
      <c r="V157" s="8"/>
      <c r="W157" s="8"/>
      <c r="X157" s="8"/>
      <c r="Y157" s="8"/>
      <c r="Z157" s="8"/>
      <c r="AA157" s="8"/>
      <c r="AB157" s="8"/>
      <c r="AC157" s="8"/>
      <c r="AD157" s="8"/>
      <c r="AE157" s="8"/>
      <c r="AF157" s="8"/>
      <c r="AG157" s="8"/>
      <c r="AH157" s="8"/>
      <c r="AI157" s="8"/>
      <c r="AJ157" s="8"/>
      <c r="AK157" s="8"/>
      <c r="AL157" s="8"/>
      <c r="AM157" s="8"/>
    </row>
    <row r="158" spans="1:39">
      <c r="A158" s="3"/>
      <c r="B158" s="20"/>
      <c r="C158" s="20"/>
      <c r="D158" s="20"/>
      <c r="E158" s="20"/>
      <c r="F158" s="308"/>
      <c r="G158" s="308"/>
      <c r="H158" s="308"/>
      <c r="I158" s="308"/>
      <c r="J158" s="308"/>
      <c r="K158" s="20"/>
      <c r="L158" s="20"/>
      <c r="M158" s="308"/>
      <c r="N158" s="20"/>
      <c r="O158" s="20"/>
      <c r="P158" s="20"/>
      <c r="Q158" s="20"/>
      <c r="R158" s="20"/>
      <c r="S158" s="67"/>
      <c r="T158" s="67"/>
      <c r="U158" s="67"/>
      <c r="V158" s="8"/>
      <c r="W158" s="8"/>
      <c r="X158" s="8"/>
      <c r="Y158" s="8"/>
      <c r="Z158" s="8"/>
      <c r="AA158" s="8"/>
      <c r="AB158" s="8"/>
      <c r="AC158" s="8"/>
      <c r="AD158" s="8"/>
      <c r="AE158" s="8"/>
      <c r="AF158" s="8"/>
      <c r="AG158" s="8"/>
      <c r="AH158" s="8"/>
      <c r="AI158" s="8"/>
      <c r="AJ158" s="8"/>
      <c r="AK158" s="8"/>
      <c r="AL158" s="8"/>
      <c r="AM158" s="8"/>
    </row>
    <row r="159" spans="1:39">
      <c r="A159" s="3"/>
      <c r="B159" s="20"/>
      <c r="C159" s="20"/>
      <c r="D159" s="20"/>
      <c r="E159" s="20"/>
      <c r="F159" s="308"/>
      <c r="G159" s="308"/>
      <c r="H159" s="308"/>
      <c r="I159" s="308"/>
      <c r="J159" s="308"/>
      <c r="K159" s="20"/>
      <c r="L159" s="20"/>
      <c r="M159" s="308"/>
      <c r="N159" s="20"/>
      <c r="O159" s="20"/>
      <c r="P159" s="20"/>
      <c r="Q159" s="20"/>
      <c r="R159" s="20"/>
      <c r="S159" s="67"/>
      <c r="T159" s="67"/>
      <c r="U159" s="67"/>
      <c r="V159" s="8"/>
      <c r="W159" s="8"/>
      <c r="X159" s="8"/>
      <c r="Y159" s="8"/>
      <c r="Z159" s="8"/>
      <c r="AA159" s="8"/>
      <c r="AB159" s="8"/>
      <c r="AC159" s="8"/>
      <c r="AD159" s="8"/>
      <c r="AE159" s="8"/>
      <c r="AF159" s="8"/>
      <c r="AG159" s="8"/>
      <c r="AH159" s="8"/>
      <c r="AI159" s="8"/>
      <c r="AJ159" s="8"/>
      <c r="AK159" s="8"/>
      <c r="AL159" s="8"/>
      <c r="AM159" s="8"/>
    </row>
    <row r="160" spans="1:39">
      <c r="A160" s="3"/>
      <c r="B160" s="20"/>
      <c r="C160" s="20"/>
      <c r="D160" s="20"/>
      <c r="E160" s="20"/>
      <c r="F160" s="308"/>
      <c r="G160" s="308"/>
      <c r="H160" s="308"/>
      <c r="I160" s="308"/>
      <c r="J160" s="308"/>
      <c r="K160" s="20"/>
      <c r="L160" s="20"/>
      <c r="M160" s="308"/>
      <c r="N160" s="20"/>
      <c r="O160" s="20"/>
      <c r="P160" s="20"/>
      <c r="Q160" s="20"/>
      <c r="R160" s="20"/>
      <c r="S160" s="67"/>
      <c r="T160" s="67"/>
      <c r="U160" s="67"/>
      <c r="V160" s="8"/>
      <c r="W160" s="8"/>
      <c r="X160" s="8"/>
      <c r="Y160" s="8"/>
      <c r="Z160" s="8"/>
      <c r="AA160" s="8"/>
      <c r="AB160" s="8"/>
      <c r="AC160" s="8"/>
      <c r="AD160" s="8"/>
      <c r="AE160" s="8"/>
      <c r="AF160" s="8"/>
      <c r="AG160" s="8"/>
      <c r="AH160" s="8"/>
      <c r="AI160" s="8"/>
      <c r="AJ160" s="8"/>
      <c r="AK160" s="8"/>
      <c r="AL160" s="8"/>
      <c r="AM160" s="8"/>
    </row>
    <row r="161" spans="1:39">
      <c r="A161" s="3"/>
      <c r="B161" s="20"/>
      <c r="C161" s="20"/>
      <c r="D161" s="20"/>
      <c r="E161" s="20"/>
      <c r="F161" s="308"/>
      <c r="G161" s="308"/>
      <c r="H161" s="308"/>
      <c r="I161" s="308"/>
      <c r="J161" s="308"/>
      <c r="K161" s="20"/>
      <c r="L161" s="20"/>
      <c r="M161" s="308"/>
      <c r="N161" s="20"/>
      <c r="O161" s="20"/>
      <c r="P161" s="20"/>
      <c r="Q161" s="20"/>
      <c r="R161" s="20"/>
      <c r="S161" s="67"/>
      <c r="T161" s="67"/>
      <c r="U161" s="67"/>
      <c r="V161" s="8"/>
      <c r="W161" s="8"/>
      <c r="X161" s="8"/>
      <c r="Y161" s="8"/>
      <c r="Z161" s="8"/>
      <c r="AA161" s="8"/>
      <c r="AB161" s="8"/>
      <c r="AC161" s="8"/>
      <c r="AD161" s="8"/>
      <c r="AE161" s="8"/>
      <c r="AF161" s="8"/>
      <c r="AG161" s="8"/>
      <c r="AH161" s="8"/>
      <c r="AI161" s="8"/>
      <c r="AJ161" s="8"/>
      <c r="AK161" s="8"/>
      <c r="AL161" s="8"/>
      <c r="AM161" s="8"/>
    </row>
    <row r="162" spans="1:39">
      <c r="A162" s="3"/>
      <c r="B162" s="20"/>
      <c r="C162" s="20"/>
      <c r="D162" s="20"/>
      <c r="E162" s="20"/>
      <c r="F162" s="308"/>
      <c r="G162" s="308"/>
      <c r="H162" s="308"/>
      <c r="I162" s="308"/>
      <c r="J162" s="308"/>
      <c r="K162" s="20"/>
      <c r="L162" s="20"/>
      <c r="M162" s="308"/>
      <c r="N162" s="20"/>
      <c r="O162" s="20"/>
      <c r="P162" s="20"/>
      <c r="Q162" s="20"/>
      <c r="R162" s="20"/>
      <c r="S162" s="67"/>
      <c r="T162" s="67"/>
      <c r="U162" s="67"/>
      <c r="V162" s="8"/>
      <c r="W162" s="8"/>
      <c r="X162" s="8"/>
      <c r="Y162" s="8"/>
      <c r="Z162" s="8"/>
      <c r="AA162" s="8"/>
      <c r="AB162" s="8"/>
      <c r="AC162" s="8"/>
      <c r="AD162" s="8"/>
      <c r="AE162" s="8"/>
      <c r="AF162" s="8"/>
      <c r="AG162" s="8"/>
      <c r="AH162" s="8"/>
      <c r="AI162" s="8"/>
      <c r="AJ162" s="8"/>
      <c r="AK162" s="8"/>
      <c r="AL162" s="8"/>
      <c r="AM162" s="8"/>
    </row>
    <row r="163" spans="1:39">
      <c r="A163" s="3"/>
      <c r="B163" s="20"/>
      <c r="C163" s="20"/>
      <c r="D163" s="20"/>
      <c r="E163" s="20"/>
      <c r="F163" s="308"/>
      <c r="G163" s="308"/>
      <c r="H163" s="308"/>
      <c r="I163" s="308"/>
      <c r="J163" s="308"/>
      <c r="K163" s="20"/>
      <c r="L163" s="20"/>
      <c r="M163" s="308"/>
      <c r="N163" s="20"/>
      <c r="O163" s="20"/>
      <c r="P163" s="20"/>
      <c r="Q163" s="20"/>
      <c r="R163" s="20"/>
      <c r="S163" s="67"/>
      <c r="T163" s="67"/>
      <c r="U163" s="67"/>
      <c r="V163" s="8"/>
      <c r="W163" s="8"/>
      <c r="X163" s="8"/>
      <c r="Y163" s="8"/>
      <c r="Z163" s="8"/>
      <c r="AA163" s="8"/>
      <c r="AB163" s="8"/>
      <c r="AC163" s="8"/>
      <c r="AD163" s="8"/>
      <c r="AE163" s="8"/>
      <c r="AF163" s="8"/>
      <c r="AG163" s="8"/>
      <c r="AH163" s="8"/>
      <c r="AI163" s="8"/>
      <c r="AJ163" s="8"/>
      <c r="AK163" s="8"/>
      <c r="AL163" s="8"/>
      <c r="AM163" s="8"/>
    </row>
    <row r="164" spans="1:39">
      <c r="A164" s="3"/>
      <c r="B164" s="20"/>
      <c r="C164" s="20"/>
      <c r="D164" s="20"/>
      <c r="E164" s="20"/>
      <c r="F164" s="308"/>
      <c r="G164" s="308"/>
      <c r="H164" s="308"/>
      <c r="I164" s="308"/>
      <c r="J164" s="308"/>
      <c r="K164" s="20"/>
      <c r="L164" s="20"/>
      <c r="M164" s="308"/>
      <c r="N164" s="20"/>
      <c r="O164" s="20"/>
      <c r="P164" s="20"/>
      <c r="Q164" s="20"/>
      <c r="R164" s="20"/>
      <c r="S164" s="67"/>
      <c r="T164" s="67"/>
      <c r="U164" s="67"/>
      <c r="V164" s="8"/>
      <c r="W164" s="8"/>
      <c r="X164" s="8"/>
      <c r="Y164" s="8"/>
      <c r="Z164" s="8"/>
      <c r="AA164" s="8"/>
      <c r="AB164" s="8"/>
      <c r="AC164" s="8"/>
      <c r="AD164" s="8"/>
      <c r="AE164" s="8"/>
      <c r="AF164" s="8"/>
      <c r="AG164" s="8"/>
      <c r="AH164" s="8"/>
      <c r="AI164" s="8"/>
      <c r="AJ164" s="8"/>
      <c r="AK164" s="8"/>
      <c r="AL164" s="8"/>
      <c r="AM164" s="8"/>
    </row>
    <row r="165" spans="1:39">
      <c r="A165" s="3"/>
      <c r="B165" s="20"/>
      <c r="C165" s="20"/>
      <c r="D165" s="20"/>
      <c r="E165" s="20"/>
      <c r="F165" s="308"/>
      <c r="G165" s="308"/>
      <c r="H165" s="308"/>
      <c r="I165" s="308"/>
      <c r="J165" s="308"/>
      <c r="K165" s="20"/>
      <c r="L165" s="20"/>
      <c r="M165" s="308"/>
      <c r="N165" s="20"/>
      <c r="O165" s="20"/>
      <c r="P165" s="20"/>
      <c r="Q165" s="20"/>
      <c r="R165" s="20"/>
      <c r="S165" s="67"/>
      <c r="T165" s="67"/>
      <c r="U165" s="67"/>
      <c r="V165" s="8"/>
      <c r="W165" s="8"/>
      <c r="X165" s="8"/>
      <c r="Y165" s="8"/>
      <c r="Z165" s="8"/>
      <c r="AA165" s="8"/>
      <c r="AB165" s="8"/>
      <c r="AC165" s="8"/>
      <c r="AD165" s="8"/>
      <c r="AE165" s="8"/>
      <c r="AF165" s="8"/>
      <c r="AG165" s="8"/>
      <c r="AH165" s="8"/>
      <c r="AI165" s="8"/>
      <c r="AJ165" s="8"/>
      <c r="AK165" s="8"/>
      <c r="AL165" s="8"/>
      <c r="AM165" s="8"/>
    </row>
    <row r="166" spans="1:39">
      <c r="A166" s="3"/>
      <c r="B166" s="20"/>
      <c r="C166" s="20"/>
      <c r="D166" s="20"/>
      <c r="E166" s="20"/>
      <c r="F166" s="308"/>
      <c r="G166" s="308"/>
      <c r="H166" s="308"/>
      <c r="I166" s="308"/>
      <c r="J166" s="308"/>
      <c r="K166" s="20"/>
      <c r="L166" s="20"/>
      <c r="M166" s="308"/>
      <c r="N166" s="20"/>
      <c r="O166" s="20"/>
      <c r="P166" s="20"/>
      <c r="Q166" s="20"/>
      <c r="R166" s="20"/>
      <c r="S166" s="67"/>
      <c r="T166" s="67"/>
      <c r="U166" s="67"/>
      <c r="V166" s="8"/>
      <c r="W166" s="8"/>
      <c r="X166" s="8"/>
      <c r="Y166" s="8"/>
      <c r="Z166" s="8"/>
      <c r="AA166" s="8"/>
      <c r="AB166" s="8"/>
      <c r="AC166" s="8"/>
      <c r="AD166" s="8"/>
      <c r="AE166" s="8"/>
      <c r="AF166" s="8"/>
      <c r="AG166" s="8"/>
      <c r="AH166" s="8"/>
      <c r="AI166" s="8"/>
      <c r="AJ166" s="8"/>
      <c r="AK166" s="8"/>
      <c r="AL166" s="8"/>
      <c r="AM166" s="8"/>
    </row>
    <row r="167" spans="1:39">
      <c r="A167" s="3"/>
      <c r="B167" s="20"/>
      <c r="C167" s="20"/>
      <c r="D167" s="20"/>
      <c r="E167" s="20"/>
      <c r="F167" s="308"/>
      <c r="G167" s="308"/>
      <c r="H167" s="308"/>
      <c r="I167" s="308"/>
      <c r="J167" s="308"/>
      <c r="K167" s="20"/>
      <c r="L167" s="20"/>
      <c r="M167" s="308"/>
      <c r="N167" s="20"/>
      <c r="O167" s="20"/>
      <c r="P167" s="20"/>
      <c r="Q167" s="20"/>
      <c r="R167" s="20"/>
      <c r="S167" s="67"/>
      <c r="T167" s="67"/>
      <c r="U167" s="67"/>
      <c r="V167" s="8"/>
      <c r="W167" s="8"/>
      <c r="X167" s="8"/>
      <c r="Y167" s="8"/>
      <c r="Z167" s="8"/>
      <c r="AA167" s="8"/>
      <c r="AB167" s="8"/>
      <c r="AC167" s="8"/>
      <c r="AD167" s="8"/>
      <c r="AE167" s="8"/>
      <c r="AF167" s="8"/>
      <c r="AG167" s="8"/>
      <c r="AH167" s="8"/>
      <c r="AI167" s="8"/>
      <c r="AJ167" s="8"/>
      <c r="AK167" s="8"/>
      <c r="AL167" s="8"/>
      <c r="AM167" s="8"/>
    </row>
    <row r="168" spans="1:39">
      <c r="A168" s="3"/>
      <c r="B168" s="20"/>
      <c r="C168" s="20"/>
      <c r="D168" s="20"/>
      <c r="E168" s="20"/>
      <c r="F168" s="308"/>
      <c r="G168" s="308"/>
      <c r="H168" s="308"/>
      <c r="I168" s="308"/>
      <c r="J168" s="308"/>
      <c r="K168" s="20"/>
      <c r="L168" s="20"/>
      <c r="M168" s="308"/>
      <c r="N168" s="20"/>
      <c r="O168" s="20"/>
      <c r="P168" s="20"/>
      <c r="Q168" s="20"/>
      <c r="R168" s="20"/>
      <c r="S168" s="67"/>
      <c r="T168" s="67"/>
      <c r="U168" s="67"/>
      <c r="V168" s="8"/>
      <c r="W168" s="8"/>
      <c r="X168" s="8"/>
      <c r="Y168" s="8"/>
      <c r="Z168" s="8"/>
      <c r="AA168" s="8"/>
      <c r="AB168" s="8"/>
      <c r="AC168" s="8"/>
      <c r="AD168" s="8"/>
      <c r="AE168" s="8"/>
      <c r="AF168" s="8"/>
      <c r="AG168" s="8"/>
      <c r="AH168" s="8"/>
      <c r="AI168" s="8"/>
      <c r="AJ168" s="8"/>
      <c r="AK168" s="8"/>
      <c r="AL168" s="8"/>
      <c r="AM168" s="8"/>
    </row>
    <row r="169" spans="1:39">
      <c r="A169" s="3"/>
      <c r="B169" s="20"/>
      <c r="C169" s="20"/>
      <c r="D169" s="20"/>
      <c r="E169" s="20"/>
      <c r="F169" s="308"/>
      <c r="G169" s="308"/>
      <c r="H169" s="308"/>
      <c r="I169" s="308"/>
      <c r="J169" s="308"/>
      <c r="K169" s="20"/>
      <c r="L169" s="20"/>
      <c r="M169" s="308"/>
      <c r="N169" s="20"/>
      <c r="O169" s="20"/>
      <c r="P169" s="20"/>
      <c r="Q169" s="20"/>
      <c r="R169" s="20"/>
      <c r="S169" s="67"/>
      <c r="T169" s="67"/>
      <c r="U169" s="67"/>
      <c r="V169" s="8"/>
      <c r="W169" s="8"/>
      <c r="X169" s="8"/>
      <c r="Y169" s="8"/>
      <c r="Z169" s="8"/>
      <c r="AA169" s="8"/>
      <c r="AB169" s="8"/>
      <c r="AC169" s="8"/>
      <c r="AD169" s="8"/>
      <c r="AE169" s="8"/>
      <c r="AF169" s="8"/>
      <c r="AG169" s="8"/>
      <c r="AH169" s="8"/>
      <c r="AI169" s="8"/>
      <c r="AJ169" s="8"/>
      <c r="AK169" s="8"/>
      <c r="AL169" s="8"/>
      <c r="AM169" s="8"/>
    </row>
    <row r="170" spans="1:39">
      <c r="A170" s="3"/>
      <c r="B170" s="20"/>
      <c r="C170" s="20"/>
      <c r="D170" s="20"/>
      <c r="E170" s="20"/>
      <c r="F170" s="308"/>
      <c r="G170" s="308"/>
      <c r="H170" s="308"/>
      <c r="I170" s="308"/>
      <c r="J170" s="308"/>
      <c r="K170" s="20"/>
      <c r="L170" s="20"/>
      <c r="M170" s="308"/>
      <c r="N170" s="20"/>
      <c r="O170" s="20"/>
      <c r="P170" s="20"/>
      <c r="Q170" s="20"/>
      <c r="R170" s="20"/>
      <c r="S170" s="67"/>
      <c r="T170" s="67"/>
      <c r="U170" s="67"/>
      <c r="V170" s="8"/>
      <c r="W170" s="8"/>
      <c r="X170" s="8"/>
      <c r="Y170" s="8"/>
      <c r="Z170" s="8"/>
      <c r="AA170" s="8"/>
      <c r="AB170" s="8"/>
      <c r="AC170" s="8"/>
      <c r="AD170" s="8"/>
      <c r="AE170" s="8"/>
      <c r="AF170" s="8"/>
      <c r="AG170" s="8"/>
      <c r="AH170" s="8"/>
      <c r="AI170" s="8"/>
      <c r="AJ170" s="8"/>
      <c r="AK170" s="8"/>
      <c r="AL170" s="8"/>
      <c r="AM170" s="8"/>
    </row>
    <row r="171" spans="1:39">
      <c r="A171" s="3"/>
      <c r="B171" s="20"/>
      <c r="C171" s="20"/>
      <c r="D171" s="20"/>
      <c r="E171" s="20"/>
      <c r="F171" s="308"/>
      <c r="G171" s="308"/>
      <c r="H171" s="308"/>
      <c r="I171" s="308"/>
      <c r="J171" s="308"/>
      <c r="K171" s="20"/>
      <c r="L171" s="20"/>
      <c r="M171" s="308"/>
      <c r="N171" s="20"/>
      <c r="O171" s="20"/>
      <c r="P171" s="20"/>
      <c r="Q171" s="20"/>
      <c r="R171" s="20"/>
      <c r="S171" s="67"/>
      <c r="T171" s="67"/>
      <c r="U171" s="67"/>
      <c r="V171" s="8"/>
      <c r="W171" s="8"/>
      <c r="X171" s="8"/>
      <c r="Y171" s="8"/>
      <c r="Z171" s="8"/>
      <c r="AA171" s="8"/>
      <c r="AB171" s="8"/>
      <c r="AC171" s="8"/>
      <c r="AD171" s="8"/>
      <c r="AE171" s="8"/>
      <c r="AF171" s="8"/>
      <c r="AG171" s="8"/>
      <c r="AH171" s="8"/>
      <c r="AI171" s="8"/>
      <c r="AJ171" s="8"/>
      <c r="AK171" s="8"/>
      <c r="AL171" s="8"/>
      <c r="AM171" s="8"/>
    </row>
    <row r="172" spans="1:39">
      <c r="A172" s="3"/>
      <c r="B172" s="20"/>
      <c r="C172" s="20"/>
      <c r="D172" s="20"/>
      <c r="E172" s="20"/>
      <c r="F172" s="308"/>
      <c r="G172" s="308"/>
      <c r="H172" s="308"/>
      <c r="I172" s="308"/>
      <c r="J172" s="308"/>
      <c r="K172" s="20"/>
      <c r="L172" s="20"/>
      <c r="M172" s="308"/>
      <c r="N172" s="20"/>
      <c r="O172" s="20"/>
      <c r="P172" s="20"/>
      <c r="Q172" s="20"/>
      <c r="R172" s="20"/>
      <c r="S172" s="67"/>
      <c r="T172" s="67"/>
      <c r="U172" s="67"/>
      <c r="V172" s="8"/>
      <c r="W172" s="8"/>
      <c r="X172" s="8"/>
      <c r="Y172" s="8"/>
      <c r="Z172" s="8"/>
      <c r="AA172" s="8"/>
      <c r="AB172" s="8"/>
      <c r="AC172" s="8"/>
      <c r="AD172" s="8"/>
      <c r="AE172" s="8"/>
      <c r="AF172" s="8"/>
      <c r="AG172" s="8"/>
      <c r="AH172" s="8"/>
      <c r="AI172" s="8"/>
      <c r="AJ172" s="8"/>
      <c r="AK172" s="8"/>
      <c r="AL172" s="8"/>
      <c r="AM172" s="8"/>
    </row>
    <row r="173" spans="1:39">
      <c r="A173" s="3"/>
      <c r="B173" s="20"/>
      <c r="C173" s="20"/>
      <c r="D173" s="20"/>
      <c r="E173" s="20"/>
      <c r="F173" s="308"/>
      <c r="G173" s="308"/>
      <c r="H173" s="308"/>
      <c r="I173" s="308"/>
      <c r="J173" s="308"/>
      <c r="K173" s="20"/>
      <c r="L173" s="20"/>
      <c r="M173" s="308"/>
      <c r="N173" s="20"/>
      <c r="O173" s="20"/>
      <c r="P173" s="20"/>
      <c r="Q173" s="20"/>
      <c r="R173" s="20"/>
      <c r="S173" s="67"/>
      <c r="T173" s="67"/>
      <c r="U173" s="67"/>
      <c r="V173" s="8"/>
      <c r="W173" s="8"/>
      <c r="X173" s="8"/>
      <c r="Y173" s="8"/>
      <c r="Z173" s="8"/>
      <c r="AA173" s="8"/>
      <c r="AB173" s="8"/>
      <c r="AC173" s="8"/>
      <c r="AD173" s="8"/>
      <c r="AE173" s="8"/>
      <c r="AF173" s="8"/>
      <c r="AG173" s="8"/>
      <c r="AH173" s="8"/>
      <c r="AI173" s="8"/>
      <c r="AJ173" s="8"/>
      <c r="AK173" s="8"/>
      <c r="AL173" s="8"/>
      <c r="AM173" s="8"/>
    </row>
    <row r="174" spans="1:39">
      <c r="A174" s="3"/>
      <c r="B174" s="20"/>
      <c r="C174" s="20"/>
      <c r="D174" s="20"/>
      <c r="E174" s="20"/>
      <c r="F174" s="308"/>
      <c r="G174" s="308"/>
      <c r="H174" s="308"/>
      <c r="I174" s="308"/>
      <c r="J174" s="308"/>
      <c r="K174" s="20"/>
      <c r="L174" s="20"/>
      <c r="M174" s="308"/>
      <c r="N174" s="20"/>
      <c r="O174" s="20"/>
      <c r="P174" s="20"/>
      <c r="Q174" s="20"/>
      <c r="R174" s="20"/>
      <c r="S174" s="67"/>
      <c r="T174" s="67"/>
      <c r="U174" s="67"/>
      <c r="V174" s="8"/>
      <c r="W174" s="8"/>
      <c r="X174" s="8"/>
      <c r="Y174" s="8"/>
      <c r="Z174" s="8"/>
      <c r="AA174" s="8"/>
      <c r="AB174" s="8"/>
      <c r="AC174" s="8"/>
      <c r="AD174" s="8"/>
      <c r="AE174" s="8"/>
      <c r="AF174" s="8"/>
      <c r="AG174" s="8"/>
      <c r="AH174" s="8"/>
      <c r="AI174" s="8"/>
      <c r="AJ174" s="8"/>
      <c r="AK174" s="8"/>
      <c r="AL174" s="8"/>
      <c r="AM174" s="8"/>
    </row>
    <row r="175" spans="1:39">
      <c r="A175" s="3"/>
      <c r="B175" s="20"/>
      <c r="C175" s="20"/>
      <c r="D175" s="20"/>
      <c r="E175" s="20"/>
      <c r="F175" s="308"/>
      <c r="G175" s="308"/>
      <c r="H175" s="308"/>
      <c r="I175" s="308"/>
      <c r="J175" s="308"/>
      <c r="K175" s="20"/>
      <c r="L175" s="20"/>
      <c r="M175" s="308"/>
      <c r="N175" s="20"/>
      <c r="O175" s="20"/>
      <c r="P175" s="20"/>
      <c r="Q175" s="20"/>
      <c r="R175" s="20"/>
      <c r="S175" s="67"/>
      <c r="T175" s="67"/>
      <c r="U175" s="67"/>
      <c r="V175" s="8"/>
      <c r="W175" s="8"/>
      <c r="X175" s="8"/>
      <c r="Y175" s="8"/>
      <c r="Z175" s="8"/>
      <c r="AA175" s="8"/>
      <c r="AB175" s="8"/>
      <c r="AC175" s="8"/>
      <c r="AD175" s="8"/>
      <c r="AE175" s="8"/>
      <c r="AF175" s="8"/>
      <c r="AG175" s="8"/>
      <c r="AH175" s="8"/>
      <c r="AI175" s="8"/>
      <c r="AJ175" s="8"/>
      <c r="AK175" s="8"/>
      <c r="AL175" s="8"/>
      <c r="AM175" s="8"/>
    </row>
    <row r="176" spans="1:39">
      <c r="A176" s="3"/>
      <c r="B176" s="20"/>
      <c r="C176" s="20"/>
      <c r="D176" s="20"/>
      <c r="E176" s="20"/>
      <c r="F176" s="308"/>
      <c r="G176" s="308"/>
      <c r="H176" s="308"/>
      <c r="I176" s="308"/>
      <c r="J176" s="308"/>
      <c r="K176" s="20"/>
      <c r="L176" s="20"/>
      <c r="M176" s="308"/>
      <c r="N176" s="20"/>
      <c r="O176" s="20"/>
      <c r="P176" s="20"/>
      <c r="Q176" s="20"/>
      <c r="R176" s="20"/>
      <c r="S176" s="67"/>
      <c r="T176" s="67"/>
      <c r="U176" s="67"/>
      <c r="V176" s="8"/>
      <c r="W176" s="8"/>
      <c r="X176" s="8"/>
      <c r="Y176" s="8"/>
      <c r="Z176" s="8"/>
      <c r="AA176" s="8"/>
      <c r="AB176" s="8"/>
      <c r="AC176" s="8"/>
      <c r="AD176" s="8"/>
      <c r="AE176" s="8"/>
      <c r="AF176" s="8"/>
      <c r="AG176" s="8"/>
      <c r="AH176" s="8"/>
      <c r="AI176" s="8"/>
      <c r="AJ176" s="8"/>
      <c r="AK176" s="8"/>
      <c r="AL176" s="8"/>
      <c r="AM176" s="8"/>
    </row>
    <row r="177" spans="1:39">
      <c r="A177" s="3"/>
      <c r="B177" s="20"/>
      <c r="C177" s="20"/>
      <c r="D177" s="20"/>
      <c r="E177" s="20"/>
      <c r="F177" s="308"/>
      <c r="G177" s="308"/>
      <c r="H177" s="308"/>
      <c r="I177" s="308"/>
      <c r="J177" s="308"/>
      <c r="K177" s="20"/>
      <c r="L177" s="20"/>
      <c r="M177" s="308"/>
      <c r="N177" s="20"/>
      <c r="O177" s="20"/>
      <c r="P177" s="20"/>
      <c r="Q177" s="20"/>
      <c r="R177" s="20"/>
      <c r="S177" s="67"/>
      <c r="T177" s="67"/>
      <c r="U177" s="67"/>
      <c r="V177" s="8"/>
      <c r="W177" s="8"/>
      <c r="X177" s="8"/>
      <c r="Y177" s="8"/>
      <c r="Z177" s="8"/>
      <c r="AA177" s="8"/>
      <c r="AB177" s="8"/>
      <c r="AC177" s="8"/>
      <c r="AD177" s="8"/>
      <c r="AE177" s="8"/>
      <c r="AF177" s="8"/>
      <c r="AG177" s="8"/>
      <c r="AH177" s="8"/>
      <c r="AI177" s="8"/>
      <c r="AJ177" s="8"/>
      <c r="AK177" s="8"/>
      <c r="AL177" s="8"/>
      <c r="AM177" s="8"/>
    </row>
    <row r="178" spans="1:39">
      <c r="A178" s="3"/>
      <c r="B178" s="20"/>
      <c r="C178" s="20"/>
      <c r="D178" s="20"/>
      <c r="E178" s="20"/>
      <c r="F178" s="308"/>
      <c r="G178" s="308"/>
      <c r="H178" s="308"/>
      <c r="I178" s="308"/>
      <c r="J178" s="308"/>
      <c r="K178" s="20"/>
      <c r="L178" s="20"/>
      <c r="M178" s="308"/>
      <c r="N178" s="20"/>
      <c r="O178" s="20"/>
      <c r="P178" s="20"/>
      <c r="Q178" s="20"/>
      <c r="R178" s="20"/>
      <c r="S178" s="67"/>
      <c r="T178" s="67"/>
      <c r="U178" s="67"/>
      <c r="V178" s="8"/>
      <c r="W178" s="8"/>
      <c r="X178" s="8"/>
      <c r="Y178" s="8"/>
      <c r="Z178" s="8"/>
      <c r="AA178" s="8"/>
      <c r="AB178" s="8"/>
      <c r="AC178" s="8"/>
      <c r="AD178" s="8"/>
      <c r="AE178" s="8"/>
      <c r="AF178" s="8"/>
      <c r="AG178" s="8"/>
      <c r="AH178" s="8"/>
      <c r="AI178" s="8"/>
      <c r="AJ178" s="8"/>
      <c r="AK178" s="8"/>
      <c r="AL178" s="8"/>
      <c r="AM178" s="8"/>
    </row>
    <row r="179" spans="1:39">
      <c r="A179" s="3"/>
      <c r="B179" s="20"/>
      <c r="C179" s="20"/>
      <c r="D179" s="20"/>
      <c r="E179" s="20"/>
      <c r="F179" s="308"/>
      <c r="G179" s="308"/>
      <c r="H179" s="308"/>
      <c r="I179" s="308"/>
      <c r="J179" s="308"/>
      <c r="K179" s="20"/>
      <c r="L179" s="20"/>
      <c r="M179" s="308"/>
      <c r="N179" s="20"/>
      <c r="O179" s="20"/>
      <c r="P179" s="20"/>
      <c r="Q179" s="20"/>
      <c r="R179" s="20"/>
      <c r="S179" s="67"/>
      <c r="T179" s="67"/>
      <c r="U179" s="67"/>
      <c r="V179" s="8"/>
      <c r="W179" s="8"/>
      <c r="X179" s="8"/>
      <c r="Y179" s="8"/>
      <c r="Z179" s="8"/>
      <c r="AA179" s="8"/>
      <c r="AB179" s="8"/>
      <c r="AC179" s="8"/>
      <c r="AD179" s="8"/>
      <c r="AE179" s="8"/>
      <c r="AF179" s="8"/>
      <c r="AG179" s="8"/>
      <c r="AH179" s="8"/>
      <c r="AI179" s="8"/>
      <c r="AJ179" s="8"/>
      <c r="AK179" s="8"/>
      <c r="AL179" s="8"/>
      <c r="AM179" s="8"/>
    </row>
    <row r="180" spans="1:39">
      <c r="A180" s="3"/>
      <c r="B180" s="20"/>
      <c r="C180" s="20"/>
      <c r="D180" s="20"/>
      <c r="E180" s="20"/>
      <c r="F180" s="308"/>
      <c r="G180" s="308"/>
      <c r="H180" s="308"/>
      <c r="I180" s="308"/>
      <c r="J180" s="308"/>
      <c r="K180" s="20"/>
      <c r="L180" s="20"/>
      <c r="M180" s="308"/>
      <c r="N180" s="20"/>
      <c r="O180" s="20"/>
      <c r="P180" s="20"/>
      <c r="Q180" s="20"/>
      <c r="R180" s="20"/>
      <c r="S180" s="67"/>
      <c r="T180" s="67"/>
      <c r="U180" s="67"/>
      <c r="V180" s="8"/>
      <c r="W180" s="8"/>
      <c r="X180" s="8"/>
      <c r="Y180" s="8"/>
      <c r="Z180" s="8"/>
      <c r="AA180" s="8"/>
      <c r="AB180" s="8"/>
      <c r="AC180" s="8"/>
      <c r="AD180" s="8"/>
      <c r="AE180" s="8"/>
      <c r="AF180" s="8"/>
      <c r="AG180" s="8"/>
      <c r="AH180" s="8"/>
      <c r="AI180" s="8"/>
      <c r="AJ180" s="8"/>
      <c r="AK180" s="8"/>
      <c r="AL180" s="8"/>
      <c r="AM180" s="8"/>
    </row>
    <row r="181" spans="1:39">
      <c r="A181" s="3"/>
      <c r="B181" s="20"/>
      <c r="C181" s="20"/>
      <c r="D181" s="20"/>
      <c r="E181" s="20"/>
      <c r="F181" s="308"/>
      <c r="G181" s="308"/>
      <c r="H181" s="308"/>
      <c r="I181" s="308"/>
      <c r="J181" s="308"/>
      <c r="K181" s="20"/>
      <c r="L181" s="20"/>
      <c r="M181" s="308"/>
      <c r="N181" s="20"/>
      <c r="O181" s="20"/>
      <c r="P181" s="20"/>
      <c r="Q181" s="20"/>
      <c r="R181" s="20"/>
      <c r="S181" s="67"/>
      <c r="T181" s="67"/>
      <c r="U181" s="67"/>
      <c r="V181" s="8"/>
      <c r="W181" s="8"/>
      <c r="X181" s="8"/>
      <c r="Y181" s="8"/>
      <c r="Z181" s="8"/>
      <c r="AA181" s="8"/>
      <c r="AB181" s="8"/>
      <c r="AC181" s="8"/>
      <c r="AD181" s="8"/>
      <c r="AE181" s="8"/>
      <c r="AF181" s="8"/>
      <c r="AG181" s="8"/>
      <c r="AH181" s="8"/>
      <c r="AI181" s="8"/>
      <c r="AJ181" s="8"/>
      <c r="AK181" s="8"/>
      <c r="AL181" s="8"/>
      <c r="AM181" s="8"/>
    </row>
    <row r="182" spans="1:39">
      <c r="A182" s="3"/>
      <c r="B182" s="20"/>
      <c r="C182" s="20"/>
      <c r="D182" s="20"/>
      <c r="E182" s="20"/>
      <c r="F182" s="308"/>
      <c r="G182" s="308"/>
      <c r="H182" s="308"/>
      <c r="I182" s="308"/>
      <c r="J182" s="308"/>
      <c r="K182" s="20"/>
      <c r="L182" s="20"/>
      <c r="M182" s="308"/>
      <c r="N182" s="20"/>
      <c r="O182" s="20"/>
      <c r="P182" s="20"/>
      <c r="Q182" s="20"/>
      <c r="R182" s="20"/>
      <c r="S182" s="67"/>
      <c r="T182" s="67"/>
      <c r="U182" s="67"/>
      <c r="V182" s="8"/>
      <c r="W182" s="8"/>
      <c r="X182" s="8"/>
      <c r="Y182" s="8"/>
      <c r="Z182" s="8"/>
      <c r="AA182" s="8"/>
      <c r="AB182" s="8"/>
      <c r="AC182" s="8"/>
      <c r="AD182" s="8"/>
      <c r="AE182" s="8"/>
      <c r="AF182" s="8"/>
      <c r="AG182" s="8"/>
      <c r="AH182" s="8"/>
      <c r="AI182" s="8"/>
      <c r="AJ182" s="8"/>
      <c r="AK182" s="8"/>
      <c r="AL182" s="8"/>
      <c r="AM182" s="8"/>
    </row>
    <row r="183" spans="1:39">
      <c r="A183" s="3"/>
      <c r="B183" s="20"/>
      <c r="C183" s="20"/>
      <c r="D183" s="20"/>
      <c r="E183" s="20"/>
      <c r="F183" s="308"/>
      <c r="G183" s="308"/>
      <c r="H183" s="308"/>
      <c r="I183" s="308"/>
      <c r="J183" s="308"/>
      <c r="K183" s="20"/>
      <c r="L183" s="20"/>
      <c r="M183" s="308"/>
      <c r="N183" s="20"/>
      <c r="O183" s="20"/>
      <c r="P183" s="20"/>
      <c r="Q183" s="20"/>
      <c r="R183" s="20"/>
      <c r="S183" s="67"/>
      <c r="T183" s="67"/>
      <c r="U183" s="67"/>
      <c r="V183" s="8"/>
      <c r="W183" s="8"/>
      <c r="X183" s="8"/>
      <c r="Y183" s="8"/>
      <c r="Z183" s="8"/>
      <c r="AA183" s="8"/>
      <c r="AB183" s="8"/>
      <c r="AC183" s="8"/>
      <c r="AD183" s="8"/>
      <c r="AE183" s="8"/>
      <c r="AF183" s="8"/>
      <c r="AG183" s="8"/>
      <c r="AH183" s="8"/>
      <c r="AI183" s="8"/>
      <c r="AJ183" s="8"/>
      <c r="AK183" s="8"/>
      <c r="AL183" s="8"/>
      <c r="AM183" s="8"/>
    </row>
    <row r="184" spans="1:39">
      <c r="A184" s="3"/>
      <c r="B184" s="20"/>
      <c r="C184" s="20"/>
      <c r="D184" s="20"/>
      <c r="E184" s="20"/>
      <c r="F184" s="308"/>
      <c r="G184" s="308"/>
      <c r="H184" s="308"/>
      <c r="I184" s="308"/>
      <c r="J184" s="308"/>
      <c r="K184" s="20"/>
      <c r="L184" s="20"/>
      <c r="M184" s="308"/>
      <c r="N184" s="20"/>
      <c r="O184" s="20"/>
      <c r="P184" s="20"/>
      <c r="Q184" s="20"/>
      <c r="R184" s="20"/>
      <c r="S184" s="67"/>
      <c r="T184" s="67"/>
      <c r="U184" s="67"/>
      <c r="V184" s="8"/>
      <c r="W184" s="8"/>
      <c r="X184" s="8"/>
      <c r="Y184" s="8"/>
      <c r="Z184" s="8"/>
      <c r="AA184" s="8"/>
      <c r="AB184" s="8"/>
      <c r="AC184" s="8"/>
      <c r="AD184" s="8"/>
      <c r="AE184" s="8"/>
      <c r="AF184" s="8"/>
      <c r="AG184" s="8"/>
      <c r="AH184" s="8"/>
      <c r="AI184" s="8"/>
      <c r="AJ184" s="8"/>
      <c r="AK184" s="8"/>
      <c r="AL184" s="8"/>
      <c r="AM184" s="8"/>
    </row>
    <row r="185" spans="1:39">
      <c r="A185" s="3"/>
      <c r="B185" s="20"/>
      <c r="C185" s="20"/>
      <c r="D185" s="20"/>
      <c r="E185" s="20"/>
      <c r="F185" s="308"/>
      <c r="G185" s="308"/>
      <c r="H185" s="308"/>
      <c r="I185" s="308"/>
      <c r="J185" s="308"/>
      <c r="K185" s="20"/>
      <c r="L185" s="20"/>
      <c r="M185" s="308"/>
      <c r="N185" s="20"/>
      <c r="O185" s="20"/>
      <c r="P185" s="20"/>
      <c r="Q185" s="20"/>
      <c r="R185" s="20"/>
      <c r="S185" s="67"/>
      <c r="T185" s="67"/>
      <c r="U185" s="67"/>
      <c r="V185" s="8"/>
      <c r="W185" s="8"/>
      <c r="X185" s="8"/>
      <c r="Y185" s="8"/>
      <c r="Z185" s="8"/>
      <c r="AA185" s="8"/>
      <c r="AB185" s="8"/>
      <c r="AC185" s="8"/>
      <c r="AD185" s="8"/>
      <c r="AE185" s="8"/>
      <c r="AF185" s="8"/>
      <c r="AG185" s="8"/>
      <c r="AH185" s="8"/>
      <c r="AI185" s="8"/>
      <c r="AJ185" s="8"/>
      <c r="AK185" s="8"/>
      <c r="AL185" s="8"/>
      <c r="AM185" s="8"/>
    </row>
    <row r="186" spans="1:39">
      <c r="A186" s="3"/>
      <c r="B186" s="20"/>
      <c r="C186" s="20"/>
      <c r="D186" s="20"/>
      <c r="E186" s="20"/>
      <c r="F186" s="308"/>
      <c r="G186" s="308"/>
      <c r="H186" s="308"/>
      <c r="I186" s="308"/>
      <c r="J186" s="308"/>
      <c r="K186" s="20"/>
      <c r="L186" s="20"/>
      <c r="M186" s="308"/>
      <c r="N186" s="20"/>
      <c r="O186" s="20"/>
      <c r="P186" s="20"/>
      <c r="Q186" s="20"/>
      <c r="R186" s="20"/>
      <c r="S186" s="67"/>
      <c r="T186" s="67"/>
      <c r="U186" s="67"/>
      <c r="V186" s="8"/>
      <c r="W186" s="8"/>
      <c r="X186" s="8"/>
      <c r="Y186" s="8"/>
      <c r="Z186" s="8"/>
      <c r="AA186" s="8"/>
      <c r="AB186" s="8"/>
      <c r="AC186" s="8"/>
      <c r="AD186" s="8"/>
      <c r="AE186" s="8"/>
      <c r="AF186" s="8"/>
      <c r="AG186" s="8"/>
      <c r="AH186" s="8"/>
      <c r="AI186" s="8"/>
      <c r="AJ186" s="8"/>
      <c r="AK186" s="8"/>
      <c r="AL186" s="8"/>
      <c r="AM186" s="8"/>
    </row>
    <row r="187" spans="1:39">
      <c r="A187" s="3"/>
      <c r="B187" s="20"/>
      <c r="C187" s="20"/>
      <c r="D187" s="20"/>
      <c r="E187" s="20"/>
      <c r="F187" s="308"/>
      <c r="G187" s="308"/>
      <c r="H187" s="308"/>
      <c r="I187" s="308"/>
      <c r="J187" s="308"/>
      <c r="K187" s="20"/>
      <c r="L187" s="20"/>
      <c r="M187" s="308"/>
      <c r="N187" s="20"/>
      <c r="O187" s="20"/>
      <c r="P187" s="20"/>
      <c r="Q187" s="20"/>
      <c r="R187" s="20"/>
      <c r="S187" s="67"/>
      <c r="T187" s="67"/>
      <c r="U187" s="67"/>
      <c r="V187" s="8"/>
      <c r="W187" s="8"/>
      <c r="X187" s="8"/>
      <c r="Y187" s="8"/>
      <c r="Z187" s="8"/>
      <c r="AA187" s="8"/>
      <c r="AB187" s="8"/>
      <c r="AC187" s="8"/>
      <c r="AD187" s="8"/>
      <c r="AE187" s="8"/>
      <c r="AF187" s="8"/>
      <c r="AG187" s="8"/>
      <c r="AH187" s="8"/>
      <c r="AI187" s="8"/>
      <c r="AJ187" s="8"/>
      <c r="AK187" s="8"/>
      <c r="AL187" s="8"/>
      <c r="AM187" s="8"/>
    </row>
    <row r="188" spans="1:39">
      <c r="A188" s="3"/>
      <c r="B188" s="20"/>
      <c r="C188" s="20"/>
      <c r="D188" s="20"/>
      <c r="E188" s="20"/>
      <c r="F188" s="308"/>
      <c r="G188" s="308"/>
      <c r="H188" s="308"/>
      <c r="I188" s="308"/>
      <c r="J188" s="308"/>
      <c r="K188" s="20"/>
      <c r="L188" s="20"/>
      <c r="M188" s="308"/>
      <c r="N188" s="20"/>
      <c r="O188" s="20"/>
      <c r="P188" s="20"/>
      <c r="Q188" s="20"/>
      <c r="R188" s="20"/>
      <c r="S188" s="67"/>
      <c r="T188" s="67"/>
      <c r="U188" s="67"/>
      <c r="V188" s="8"/>
      <c r="W188" s="8"/>
      <c r="X188" s="8"/>
      <c r="Y188" s="8"/>
      <c r="Z188" s="8"/>
      <c r="AA188" s="8"/>
      <c r="AB188" s="8"/>
      <c r="AC188" s="8"/>
      <c r="AD188" s="8"/>
      <c r="AE188" s="8"/>
      <c r="AF188" s="8"/>
      <c r="AG188" s="8"/>
      <c r="AH188" s="8"/>
      <c r="AI188" s="8"/>
      <c r="AJ188" s="8"/>
      <c r="AK188" s="8"/>
      <c r="AL188" s="8"/>
      <c r="AM188" s="8"/>
    </row>
    <row r="189" spans="1:39">
      <c r="A189" s="3"/>
      <c r="B189" s="20"/>
      <c r="C189" s="20"/>
      <c r="D189" s="20"/>
      <c r="E189" s="20"/>
      <c r="F189" s="308"/>
      <c r="G189" s="308"/>
      <c r="H189" s="308"/>
      <c r="I189" s="308"/>
      <c r="J189" s="308"/>
      <c r="K189" s="20"/>
      <c r="L189" s="20"/>
      <c r="M189" s="308"/>
      <c r="N189" s="20"/>
      <c r="O189" s="20"/>
      <c r="P189" s="20"/>
      <c r="Q189" s="20"/>
      <c r="R189" s="20"/>
      <c r="S189" s="67"/>
      <c r="T189" s="67"/>
      <c r="U189" s="67"/>
      <c r="V189" s="8"/>
      <c r="W189" s="8"/>
      <c r="X189" s="8"/>
      <c r="Y189" s="8"/>
      <c r="Z189" s="8"/>
      <c r="AA189" s="8"/>
      <c r="AB189" s="8"/>
      <c r="AC189" s="8"/>
      <c r="AD189" s="8"/>
      <c r="AE189" s="8"/>
      <c r="AF189" s="8"/>
      <c r="AG189" s="8"/>
      <c r="AH189" s="8"/>
      <c r="AI189" s="8"/>
      <c r="AJ189" s="8"/>
      <c r="AK189" s="8"/>
      <c r="AL189" s="8"/>
      <c r="AM189" s="8"/>
    </row>
    <row r="190" spans="1:39">
      <c r="A190" s="3"/>
      <c r="B190" s="20"/>
      <c r="C190" s="20"/>
      <c r="D190" s="20"/>
      <c r="E190" s="20"/>
      <c r="F190" s="308"/>
      <c r="G190" s="308"/>
      <c r="H190" s="308"/>
      <c r="I190" s="308"/>
      <c r="J190" s="308"/>
      <c r="K190" s="20"/>
      <c r="L190" s="20"/>
      <c r="M190" s="308"/>
      <c r="N190" s="20"/>
      <c r="O190" s="20"/>
      <c r="P190" s="20"/>
      <c r="Q190" s="20"/>
      <c r="R190" s="20"/>
      <c r="S190" s="67"/>
      <c r="T190" s="67"/>
      <c r="U190" s="67"/>
      <c r="V190" s="8"/>
      <c r="W190" s="8"/>
      <c r="X190" s="8"/>
      <c r="Y190" s="8"/>
      <c r="Z190" s="8"/>
      <c r="AA190" s="8"/>
      <c r="AB190" s="8"/>
      <c r="AC190" s="8"/>
      <c r="AD190" s="8"/>
      <c r="AE190" s="8"/>
      <c r="AF190" s="8"/>
      <c r="AG190" s="8"/>
      <c r="AH190" s="8"/>
      <c r="AI190" s="8"/>
      <c r="AJ190" s="8"/>
      <c r="AK190" s="8"/>
      <c r="AL190" s="8"/>
      <c r="AM190" s="8"/>
    </row>
    <row r="191" spans="1:39">
      <c r="A191" s="3"/>
      <c r="B191" s="20"/>
      <c r="C191" s="20"/>
      <c r="D191" s="20"/>
      <c r="E191" s="20"/>
      <c r="F191" s="308"/>
      <c r="G191" s="308"/>
      <c r="H191" s="308"/>
      <c r="I191" s="308"/>
      <c r="J191" s="308"/>
      <c r="K191" s="20"/>
      <c r="L191" s="20"/>
      <c r="M191" s="308"/>
      <c r="N191" s="20"/>
      <c r="O191" s="20"/>
      <c r="P191" s="20"/>
      <c r="Q191" s="20"/>
      <c r="R191" s="20"/>
      <c r="S191" s="67"/>
      <c r="T191" s="67"/>
      <c r="U191" s="67"/>
      <c r="V191" s="8"/>
      <c r="W191" s="8"/>
      <c r="X191" s="8"/>
      <c r="Y191" s="8"/>
      <c r="Z191" s="8"/>
      <c r="AA191" s="8"/>
      <c r="AB191" s="8"/>
      <c r="AC191" s="8"/>
      <c r="AD191" s="8"/>
      <c r="AE191" s="8"/>
      <c r="AF191" s="8"/>
      <c r="AG191" s="8"/>
      <c r="AH191" s="8"/>
      <c r="AI191" s="8"/>
      <c r="AJ191" s="8"/>
      <c r="AK191" s="8"/>
      <c r="AL191" s="8"/>
      <c r="AM191" s="8"/>
    </row>
    <row r="192" spans="1:39">
      <c r="A192" s="3"/>
      <c r="B192" s="20"/>
      <c r="C192" s="20"/>
      <c r="D192" s="20"/>
      <c r="E192" s="20"/>
      <c r="F192" s="308"/>
      <c r="G192" s="308"/>
      <c r="H192" s="308"/>
      <c r="I192" s="308"/>
      <c r="J192" s="308"/>
      <c r="K192" s="20"/>
      <c r="L192" s="20"/>
      <c r="M192" s="308"/>
      <c r="N192" s="20"/>
      <c r="O192" s="20"/>
      <c r="P192" s="20"/>
      <c r="Q192" s="20"/>
      <c r="R192" s="20"/>
      <c r="S192" s="67"/>
      <c r="T192" s="67"/>
      <c r="U192" s="67"/>
      <c r="V192" s="8"/>
      <c r="W192" s="8"/>
      <c r="X192" s="8"/>
      <c r="Y192" s="8"/>
      <c r="Z192" s="8"/>
      <c r="AA192" s="8"/>
      <c r="AB192" s="8"/>
      <c r="AC192" s="8"/>
      <c r="AD192" s="8"/>
      <c r="AE192" s="8"/>
      <c r="AF192" s="8"/>
      <c r="AG192" s="8"/>
      <c r="AH192" s="8"/>
      <c r="AI192" s="8"/>
      <c r="AJ192" s="8"/>
      <c r="AK192" s="8"/>
      <c r="AL192" s="8"/>
      <c r="AM192" s="8"/>
    </row>
    <row r="193" spans="1:39">
      <c r="A193" s="3"/>
      <c r="B193" s="20"/>
      <c r="C193" s="20"/>
      <c r="D193" s="20"/>
      <c r="E193" s="20"/>
      <c r="F193" s="308"/>
      <c r="G193" s="308"/>
      <c r="H193" s="308"/>
      <c r="I193" s="308"/>
      <c r="J193" s="308"/>
      <c r="K193" s="20"/>
      <c r="L193" s="20"/>
      <c r="M193" s="308"/>
      <c r="N193" s="20"/>
      <c r="O193" s="20"/>
      <c r="P193" s="20"/>
      <c r="Q193" s="20"/>
      <c r="R193" s="20"/>
      <c r="S193" s="67"/>
      <c r="T193" s="67"/>
      <c r="U193" s="67"/>
      <c r="V193" s="8"/>
      <c r="W193" s="8"/>
      <c r="X193" s="8"/>
      <c r="Y193" s="8"/>
      <c r="Z193" s="8"/>
      <c r="AA193" s="8"/>
      <c r="AB193" s="8"/>
      <c r="AC193" s="8"/>
      <c r="AD193" s="8"/>
      <c r="AE193" s="8"/>
      <c r="AF193" s="8"/>
      <c r="AG193" s="8"/>
      <c r="AH193" s="8"/>
      <c r="AI193" s="8"/>
      <c r="AJ193" s="8"/>
      <c r="AK193" s="8"/>
      <c r="AL193" s="8"/>
      <c r="AM193" s="8"/>
    </row>
    <row r="194" spans="1:39">
      <c r="A194" s="3"/>
      <c r="B194" s="20"/>
      <c r="C194" s="20"/>
      <c r="D194" s="20"/>
      <c r="E194" s="20"/>
      <c r="F194" s="308"/>
      <c r="G194" s="308"/>
      <c r="H194" s="308"/>
      <c r="I194" s="308"/>
      <c r="J194" s="308"/>
      <c r="K194" s="20"/>
      <c r="L194" s="20"/>
      <c r="M194" s="308"/>
      <c r="N194" s="20"/>
      <c r="O194" s="20"/>
      <c r="P194" s="20"/>
      <c r="Q194" s="20"/>
      <c r="R194" s="20"/>
      <c r="S194" s="67"/>
      <c r="T194" s="67"/>
      <c r="U194" s="67"/>
      <c r="V194" s="8"/>
      <c r="W194" s="8"/>
      <c r="X194" s="8"/>
      <c r="Y194" s="8"/>
      <c r="Z194" s="8"/>
      <c r="AA194" s="8"/>
      <c r="AB194" s="8"/>
      <c r="AC194" s="8"/>
      <c r="AD194" s="8"/>
      <c r="AE194" s="8"/>
      <c r="AF194" s="8"/>
      <c r="AG194" s="8"/>
      <c r="AH194" s="8"/>
      <c r="AI194" s="8"/>
      <c r="AJ194" s="8"/>
      <c r="AK194" s="8"/>
      <c r="AL194" s="8"/>
      <c r="AM194" s="8"/>
    </row>
    <row r="195" spans="1:39">
      <c r="A195" s="3"/>
      <c r="B195" s="20"/>
      <c r="C195" s="20"/>
      <c r="D195" s="20"/>
      <c r="E195" s="20"/>
      <c r="F195" s="308"/>
      <c r="G195" s="308"/>
      <c r="H195" s="308"/>
      <c r="I195" s="308"/>
      <c r="J195" s="308"/>
      <c r="K195" s="20"/>
      <c r="L195" s="20"/>
      <c r="M195" s="308"/>
      <c r="N195" s="20"/>
      <c r="O195" s="20"/>
      <c r="P195" s="20"/>
      <c r="Q195" s="20"/>
      <c r="R195" s="20"/>
      <c r="S195" s="67"/>
      <c r="T195" s="67"/>
      <c r="U195" s="67"/>
      <c r="V195" s="8"/>
      <c r="W195" s="8"/>
      <c r="X195" s="8"/>
      <c r="Y195" s="8"/>
      <c r="Z195" s="8"/>
      <c r="AA195" s="8"/>
      <c r="AB195" s="8"/>
      <c r="AC195" s="8"/>
      <c r="AD195" s="8"/>
      <c r="AE195" s="8"/>
      <c r="AF195" s="8"/>
      <c r="AG195" s="8"/>
      <c r="AH195" s="8"/>
      <c r="AI195" s="8"/>
      <c r="AJ195" s="8"/>
      <c r="AK195" s="8"/>
      <c r="AL195" s="8"/>
      <c r="AM195" s="8"/>
    </row>
    <row r="196" spans="1:39">
      <c r="A196" s="3"/>
      <c r="B196" s="20"/>
      <c r="C196" s="20"/>
      <c r="D196" s="20"/>
      <c r="E196" s="20"/>
      <c r="F196" s="308"/>
      <c r="G196" s="308"/>
      <c r="H196" s="308"/>
      <c r="I196" s="308"/>
      <c r="J196" s="308"/>
      <c r="K196" s="20"/>
      <c r="L196" s="20"/>
      <c r="M196" s="308"/>
      <c r="N196" s="20"/>
      <c r="O196" s="20"/>
      <c r="P196" s="20"/>
      <c r="Q196" s="20"/>
      <c r="R196" s="20"/>
      <c r="S196" s="67"/>
      <c r="T196" s="67"/>
      <c r="U196" s="67"/>
      <c r="V196" s="8"/>
      <c r="W196" s="8"/>
      <c r="X196" s="8"/>
      <c r="Y196" s="8"/>
      <c r="Z196" s="8"/>
      <c r="AA196" s="8"/>
      <c r="AB196" s="8"/>
      <c r="AC196" s="8"/>
      <c r="AD196" s="8"/>
      <c r="AE196" s="8"/>
      <c r="AF196" s="8"/>
      <c r="AG196" s="8"/>
      <c r="AH196" s="8"/>
      <c r="AI196" s="8"/>
      <c r="AJ196" s="8"/>
      <c r="AK196" s="8"/>
      <c r="AL196" s="8"/>
      <c r="AM196" s="8"/>
    </row>
    <row r="197" spans="1:39">
      <c r="A197" s="3"/>
      <c r="B197" s="20"/>
      <c r="C197" s="20"/>
      <c r="D197" s="20"/>
      <c r="E197" s="20"/>
      <c r="F197" s="308"/>
      <c r="G197" s="308"/>
      <c r="H197" s="308"/>
      <c r="I197" s="308"/>
      <c r="J197" s="308"/>
      <c r="K197" s="20"/>
      <c r="L197" s="20"/>
      <c r="M197" s="308"/>
      <c r="N197" s="20"/>
      <c r="O197" s="20"/>
      <c r="P197" s="20"/>
      <c r="Q197" s="20"/>
      <c r="R197" s="20"/>
      <c r="S197" s="67"/>
      <c r="T197" s="67"/>
      <c r="U197" s="67"/>
      <c r="V197" s="8"/>
      <c r="W197" s="8"/>
      <c r="X197" s="8"/>
      <c r="Y197" s="8"/>
      <c r="Z197" s="8"/>
      <c r="AA197" s="8"/>
      <c r="AB197" s="8"/>
      <c r="AC197" s="8"/>
      <c r="AD197" s="8"/>
      <c r="AE197" s="8"/>
      <c r="AF197" s="8"/>
      <c r="AG197" s="8"/>
      <c r="AH197" s="8"/>
      <c r="AI197" s="8"/>
      <c r="AJ197" s="8"/>
      <c r="AK197" s="8"/>
      <c r="AL197" s="8"/>
      <c r="AM197" s="8"/>
    </row>
    <row r="198" spans="1:39">
      <c r="A198" s="3"/>
      <c r="B198" s="20"/>
      <c r="C198" s="20"/>
      <c r="D198" s="20"/>
      <c r="E198" s="20"/>
      <c r="F198" s="308"/>
      <c r="G198" s="308"/>
      <c r="H198" s="308"/>
      <c r="I198" s="308"/>
      <c r="J198" s="308"/>
      <c r="K198" s="20"/>
      <c r="L198" s="20"/>
      <c r="M198" s="308"/>
      <c r="N198" s="20"/>
      <c r="O198" s="20"/>
      <c r="P198" s="20"/>
      <c r="Q198" s="20"/>
      <c r="R198" s="20"/>
      <c r="S198" s="67"/>
      <c r="T198" s="67"/>
      <c r="U198" s="67"/>
      <c r="V198" s="8"/>
      <c r="W198" s="8"/>
      <c r="X198" s="8"/>
      <c r="Y198" s="8"/>
      <c r="Z198" s="8"/>
      <c r="AA198" s="8"/>
      <c r="AB198" s="8"/>
      <c r="AC198" s="8"/>
      <c r="AD198" s="8"/>
      <c r="AE198" s="8"/>
      <c r="AF198" s="8"/>
      <c r="AG198" s="8"/>
      <c r="AH198" s="8"/>
      <c r="AI198" s="8"/>
      <c r="AJ198" s="8"/>
      <c r="AK198" s="8"/>
      <c r="AL198" s="8"/>
      <c r="AM198" s="8"/>
    </row>
    <row r="199" spans="1:39">
      <c r="A199" s="3"/>
      <c r="B199" s="20"/>
      <c r="C199" s="20"/>
      <c r="D199" s="20"/>
      <c r="E199" s="20"/>
      <c r="F199" s="308"/>
      <c r="G199" s="308"/>
      <c r="H199" s="308"/>
      <c r="I199" s="308"/>
      <c r="J199" s="308"/>
      <c r="K199" s="20"/>
      <c r="L199" s="20"/>
      <c r="M199" s="308"/>
      <c r="N199" s="20"/>
      <c r="O199" s="20"/>
      <c r="P199" s="20"/>
      <c r="Q199" s="20"/>
      <c r="R199" s="20"/>
      <c r="S199" s="67"/>
      <c r="T199" s="67"/>
      <c r="U199" s="67"/>
      <c r="V199" s="8"/>
      <c r="W199" s="8"/>
      <c r="X199" s="8"/>
      <c r="Y199" s="8"/>
      <c r="Z199" s="8"/>
      <c r="AA199" s="8"/>
      <c r="AB199" s="8"/>
      <c r="AC199" s="8"/>
      <c r="AD199" s="8"/>
      <c r="AE199" s="8"/>
      <c r="AF199" s="8"/>
      <c r="AG199" s="8"/>
      <c r="AH199" s="8"/>
      <c r="AI199" s="8"/>
      <c r="AJ199" s="8"/>
      <c r="AK199" s="8"/>
      <c r="AL199" s="8"/>
      <c r="AM199" s="8"/>
    </row>
    <row r="200" spans="1:39">
      <c r="A200" s="3"/>
      <c r="B200" s="20"/>
      <c r="C200" s="20"/>
      <c r="D200" s="20"/>
      <c r="E200" s="20"/>
      <c r="F200" s="308"/>
      <c r="G200" s="308"/>
      <c r="H200" s="308"/>
      <c r="I200" s="308"/>
      <c r="J200" s="308"/>
      <c r="K200" s="20"/>
      <c r="L200" s="20"/>
      <c r="M200" s="308"/>
      <c r="N200" s="20"/>
      <c r="O200" s="20"/>
      <c r="P200" s="20"/>
      <c r="Q200" s="20"/>
      <c r="R200" s="20"/>
      <c r="S200" s="67"/>
      <c r="T200" s="67"/>
      <c r="U200" s="67"/>
      <c r="V200" s="8"/>
      <c r="W200" s="8"/>
      <c r="X200" s="8"/>
      <c r="Y200" s="8"/>
      <c r="Z200" s="8"/>
      <c r="AA200" s="8"/>
      <c r="AB200" s="8"/>
      <c r="AC200" s="8"/>
      <c r="AD200" s="8"/>
      <c r="AE200" s="8"/>
      <c r="AF200" s="8"/>
      <c r="AG200" s="8"/>
      <c r="AH200" s="8"/>
      <c r="AI200" s="8"/>
      <c r="AJ200" s="8"/>
      <c r="AK200" s="8"/>
      <c r="AL200" s="8"/>
      <c r="AM200" s="8"/>
    </row>
    <row r="201" spans="1:39">
      <c r="A201" s="3"/>
      <c r="B201" s="20"/>
      <c r="C201" s="20"/>
      <c r="D201" s="20"/>
      <c r="E201" s="20"/>
      <c r="F201" s="308"/>
      <c r="G201" s="308"/>
      <c r="H201" s="308"/>
      <c r="I201" s="308"/>
      <c r="J201" s="308"/>
      <c r="K201" s="20"/>
      <c r="L201" s="20"/>
      <c r="M201" s="308"/>
      <c r="N201" s="20"/>
      <c r="O201" s="20"/>
      <c r="P201" s="20"/>
      <c r="Q201" s="20"/>
      <c r="R201" s="20"/>
      <c r="S201" s="67"/>
      <c r="T201" s="67"/>
      <c r="U201" s="67"/>
      <c r="V201" s="8"/>
      <c r="W201" s="8"/>
      <c r="X201" s="8"/>
      <c r="Y201" s="8"/>
      <c r="Z201" s="8"/>
      <c r="AA201" s="8"/>
      <c r="AB201" s="8"/>
      <c r="AC201" s="8"/>
      <c r="AD201" s="8"/>
      <c r="AE201" s="8"/>
      <c r="AF201" s="8"/>
      <c r="AG201" s="8"/>
      <c r="AH201" s="8"/>
      <c r="AI201" s="8"/>
      <c r="AJ201" s="8"/>
      <c r="AK201" s="8"/>
      <c r="AL201" s="8"/>
      <c r="AM201" s="8"/>
    </row>
    <row r="202" spans="1:39">
      <c r="A202" s="3"/>
      <c r="B202" s="20"/>
      <c r="C202" s="20"/>
      <c r="D202" s="20"/>
      <c r="E202" s="20"/>
      <c r="F202" s="308"/>
      <c r="G202" s="308"/>
      <c r="H202" s="308"/>
      <c r="I202" s="308"/>
      <c r="J202" s="308"/>
      <c r="K202" s="20"/>
      <c r="L202" s="20"/>
      <c r="M202" s="308"/>
      <c r="N202" s="20"/>
      <c r="O202" s="20"/>
      <c r="P202" s="20"/>
      <c r="Q202" s="20"/>
      <c r="R202" s="20"/>
      <c r="S202" s="67"/>
      <c r="T202" s="67"/>
      <c r="U202" s="67"/>
      <c r="V202" s="8"/>
      <c r="W202" s="8"/>
      <c r="X202" s="8"/>
      <c r="Y202" s="8"/>
      <c r="Z202" s="8"/>
      <c r="AA202" s="8"/>
      <c r="AB202" s="8"/>
      <c r="AC202" s="8"/>
      <c r="AD202" s="8"/>
      <c r="AE202" s="8"/>
      <c r="AF202" s="8"/>
      <c r="AG202" s="8"/>
      <c r="AH202" s="8"/>
      <c r="AI202" s="8"/>
      <c r="AJ202" s="8"/>
      <c r="AK202" s="8"/>
      <c r="AL202" s="8"/>
      <c r="AM202" s="8"/>
    </row>
    <row r="203" spans="1:39">
      <c r="A203" s="3"/>
      <c r="B203" s="20"/>
      <c r="C203" s="20"/>
      <c r="D203" s="20"/>
      <c r="E203" s="20"/>
      <c r="F203" s="308"/>
      <c r="G203" s="308"/>
      <c r="H203" s="308"/>
      <c r="I203" s="308"/>
      <c r="J203" s="308"/>
      <c r="K203" s="20"/>
      <c r="L203" s="20"/>
      <c r="M203" s="308"/>
      <c r="N203" s="20"/>
      <c r="O203" s="20"/>
      <c r="P203" s="20"/>
      <c r="Q203" s="20"/>
      <c r="R203" s="20"/>
      <c r="S203" s="67"/>
      <c r="T203" s="67"/>
      <c r="U203" s="67"/>
      <c r="V203" s="8"/>
      <c r="W203" s="8"/>
      <c r="X203" s="8"/>
      <c r="Y203" s="8"/>
      <c r="Z203" s="8"/>
      <c r="AA203" s="8"/>
      <c r="AB203" s="8"/>
      <c r="AC203" s="8"/>
      <c r="AD203" s="8"/>
      <c r="AE203" s="8"/>
      <c r="AF203" s="8"/>
      <c r="AG203" s="8"/>
      <c r="AH203" s="8"/>
      <c r="AI203" s="8"/>
      <c r="AJ203" s="8"/>
      <c r="AK203" s="8"/>
      <c r="AL203" s="8"/>
      <c r="AM203" s="8"/>
    </row>
    <row r="204" spans="1:39">
      <c r="A204" s="3"/>
      <c r="B204" s="20"/>
      <c r="C204" s="20"/>
      <c r="D204" s="20"/>
      <c r="E204" s="20"/>
      <c r="F204" s="308"/>
      <c r="G204" s="308"/>
      <c r="H204" s="308"/>
      <c r="I204" s="308"/>
      <c r="J204" s="308"/>
      <c r="K204" s="20"/>
      <c r="L204" s="20"/>
      <c r="M204" s="308"/>
      <c r="N204" s="20"/>
      <c r="O204" s="20"/>
      <c r="P204" s="20"/>
      <c r="Q204" s="20"/>
      <c r="R204" s="20"/>
      <c r="S204" s="67"/>
      <c r="T204" s="67"/>
      <c r="U204" s="67"/>
      <c r="V204" s="8"/>
      <c r="W204" s="8"/>
      <c r="X204" s="8"/>
      <c r="Y204" s="8"/>
      <c r="Z204" s="8"/>
      <c r="AA204" s="8"/>
      <c r="AB204" s="8"/>
      <c r="AC204" s="8"/>
      <c r="AD204" s="8"/>
      <c r="AE204" s="8"/>
      <c r="AF204" s="8"/>
      <c r="AG204" s="8"/>
      <c r="AH204" s="8"/>
      <c r="AI204" s="8"/>
      <c r="AJ204" s="8"/>
      <c r="AK204" s="8"/>
      <c r="AL204" s="8"/>
      <c r="AM204" s="8"/>
    </row>
    <row r="205" spans="1:39">
      <c r="A205" s="3"/>
      <c r="B205" s="20"/>
      <c r="C205" s="20"/>
      <c r="D205" s="20"/>
      <c r="E205" s="20"/>
      <c r="F205" s="308"/>
      <c r="G205" s="308"/>
      <c r="H205" s="308"/>
      <c r="I205" s="308"/>
      <c r="J205" s="308"/>
      <c r="K205" s="20"/>
      <c r="L205" s="20"/>
      <c r="M205" s="308"/>
      <c r="N205" s="20"/>
      <c r="O205" s="20"/>
      <c r="P205" s="20"/>
      <c r="Q205" s="20"/>
      <c r="R205" s="20"/>
      <c r="S205" s="67"/>
      <c r="T205" s="67"/>
      <c r="U205" s="67"/>
      <c r="V205" s="8"/>
      <c r="W205" s="8"/>
      <c r="X205" s="8"/>
      <c r="Y205" s="8"/>
      <c r="Z205" s="8"/>
      <c r="AA205" s="8"/>
      <c r="AB205" s="8"/>
      <c r="AC205" s="8"/>
      <c r="AD205" s="8"/>
      <c r="AE205" s="8"/>
      <c r="AF205" s="8"/>
      <c r="AG205" s="8"/>
      <c r="AH205" s="8"/>
      <c r="AI205" s="8"/>
      <c r="AJ205" s="8"/>
      <c r="AK205" s="8"/>
      <c r="AL205" s="8"/>
      <c r="AM205" s="8"/>
    </row>
    <row r="206" spans="1:39">
      <c r="A206" s="3"/>
      <c r="B206" s="20"/>
      <c r="C206" s="20"/>
      <c r="D206" s="20"/>
      <c r="E206" s="20"/>
      <c r="F206" s="308"/>
      <c r="G206" s="308"/>
      <c r="H206" s="308"/>
      <c r="I206" s="308"/>
      <c r="J206" s="308"/>
      <c r="K206" s="20"/>
      <c r="L206" s="20"/>
      <c r="M206" s="308"/>
      <c r="N206" s="20"/>
      <c r="O206" s="20"/>
      <c r="P206" s="20"/>
      <c r="Q206" s="20"/>
      <c r="R206" s="20"/>
      <c r="S206" s="67"/>
      <c r="T206" s="67"/>
      <c r="U206" s="67"/>
      <c r="V206" s="8"/>
      <c r="W206" s="8"/>
      <c r="X206" s="8"/>
      <c r="Y206" s="8"/>
      <c r="Z206" s="8"/>
      <c r="AA206" s="8"/>
      <c r="AB206" s="8"/>
      <c r="AC206" s="8"/>
      <c r="AD206" s="8"/>
      <c r="AE206" s="8"/>
      <c r="AF206" s="8"/>
      <c r="AG206" s="8"/>
      <c r="AH206" s="8"/>
      <c r="AI206" s="8"/>
      <c r="AJ206" s="8"/>
      <c r="AK206" s="8"/>
      <c r="AL206" s="8"/>
      <c r="AM206" s="8"/>
    </row>
    <row r="207" spans="1:39">
      <c r="A207" s="3"/>
      <c r="B207" s="20"/>
      <c r="C207" s="20"/>
      <c r="D207" s="20"/>
      <c r="E207" s="20"/>
      <c r="F207" s="308"/>
      <c r="G207" s="308"/>
      <c r="H207" s="308"/>
      <c r="I207" s="308"/>
      <c r="J207" s="308"/>
      <c r="K207" s="20"/>
      <c r="L207" s="20"/>
      <c r="M207" s="308"/>
      <c r="N207" s="20"/>
      <c r="O207" s="20"/>
      <c r="P207" s="20"/>
      <c r="Q207" s="20"/>
      <c r="R207" s="20"/>
      <c r="S207" s="67"/>
      <c r="T207" s="67"/>
      <c r="U207" s="67"/>
      <c r="V207" s="8"/>
      <c r="W207" s="8"/>
      <c r="X207" s="8"/>
      <c r="Y207" s="8"/>
      <c r="Z207" s="8"/>
      <c r="AA207" s="8"/>
      <c r="AB207" s="8"/>
      <c r="AC207" s="8"/>
      <c r="AD207" s="8"/>
      <c r="AE207" s="8"/>
      <c r="AF207" s="8"/>
      <c r="AG207" s="8"/>
      <c r="AH207" s="8"/>
      <c r="AI207" s="8"/>
      <c r="AJ207" s="8"/>
      <c r="AK207" s="8"/>
      <c r="AL207" s="8"/>
      <c r="AM207" s="8"/>
    </row>
    <row r="208" spans="1:39">
      <c r="A208" s="3"/>
      <c r="B208" s="20"/>
      <c r="C208" s="20"/>
      <c r="D208" s="20"/>
      <c r="E208" s="20"/>
      <c r="F208" s="308"/>
      <c r="G208" s="308"/>
      <c r="H208" s="308"/>
      <c r="I208" s="308"/>
      <c r="J208" s="308"/>
      <c r="K208" s="20"/>
      <c r="L208" s="20"/>
      <c r="M208" s="308"/>
      <c r="N208" s="20"/>
      <c r="O208" s="20"/>
      <c r="P208" s="20"/>
      <c r="Q208" s="20"/>
      <c r="R208" s="20"/>
      <c r="S208" s="67"/>
      <c r="T208" s="67"/>
      <c r="U208" s="67"/>
      <c r="V208" s="8"/>
      <c r="W208" s="8"/>
      <c r="X208" s="8"/>
      <c r="Y208" s="8"/>
      <c r="Z208" s="8"/>
      <c r="AA208" s="8"/>
      <c r="AB208" s="8"/>
      <c r="AC208" s="8"/>
      <c r="AD208" s="8"/>
      <c r="AE208" s="8"/>
      <c r="AF208" s="8"/>
      <c r="AG208" s="8"/>
      <c r="AH208" s="8"/>
      <c r="AI208" s="8"/>
      <c r="AJ208" s="8"/>
      <c r="AK208" s="8"/>
      <c r="AL208" s="8"/>
      <c r="AM208" s="8"/>
    </row>
    <row r="209" spans="1:39">
      <c r="A209" s="3"/>
      <c r="B209" s="20"/>
      <c r="C209" s="20"/>
      <c r="D209" s="20"/>
      <c r="E209" s="20"/>
      <c r="F209" s="308"/>
      <c r="G209" s="308"/>
      <c r="H209" s="308"/>
      <c r="I209" s="308"/>
      <c r="J209" s="308"/>
      <c r="K209" s="20"/>
      <c r="L209" s="20"/>
      <c r="M209" s="308"/>
      <c r="N209" s="20"/>
      <c r="O209" s="20"/>
      <c r="P209" s="20"/>
      <c r="Q209" s="20"/>
      <c r="R209" s="20"/>
      <c r="S209" s="67"/>
      <c r="T209" s="67"/>
      <c r="U209" s="67"/>
      <c r="V209" s="8"/>
      <c r="W209" s="8"/>
      <c r="X209" s="8"/>
      <c r="Y209" s="8"/>
      <c r="Z209" s="8"/>
      <c r="AA209" s="8"/>
      <c r="AB209" s="8"/>
      <c r="AC209" s="8"/>
      <c r="AD209" s="8"/>
      <c r="AE209" s="8"/>
      <c r="AF209" s="8"/>
      <c r="AG209" s="8"/>
      <c r="AH209" s="8"/>
      <c r="AI209" s="8"/>
      <c r="AJ209" s="8"/>
      <c r="AK209" s="8"/>
      <c r="AL209" s="8"/>
      <c r="AM209" s="8"/>
    </row>
    <row r="210" spans="1:39">
      <c r="A210" s="3"/>
      <c r="B210" s="20"/>
      <c r="C210" s="20"/>
      <c r="D210" s="20"/>
      <c r="E210" s="20"/>
      <c r="F210" s="308"/>
      <c r="G210" s="308"/>
      <c r="H210" s="308"/>
      <c r="I210" s="308"/>
      <c r="J210" s="308"/>
      <c r="K210" s="20"/>
      <c r="L210" s="20"/>
      <c r="M210" s="308"/>
      <c r="N210" s="20"/>
      <c r="O210" s="20"/>
      <c r="P210" s="20"/>
      <c r="Q210" s="20"/>
      <c r="R210" s="20"/>
      <c r="S210" s="67"/>
      <c r="T210" s="67"/>
      <c r="U210" s="67"/>
      <c r="V210" s="8"/>
      <c r="W210" s="8"/>
      <c r="X210" s="8"/>
      <c r="Y210" s="8"/>
      <c r="Z210" s="8"/>
      <c r="AA210" s="8"/>
      <c r="AB210" s="8"/>
      <c r="AC210" s="8"/>
      <c r="AD210" s="8"/>
      <c r="AE210" s="8"/>
      <c r="AF210" s="8"/>
      <c r="AG210" s="8"/>
      <c r="AH210" s="8"/>
      <c r="AI210" s="8"/>
      <c r="AJ210" s="8"/>
      <c r="AK210" s="8"/>
      <c r="AL210" s="8"/>
      <c r="AM210" s="8"/>
    </row>
    <row r="211" spans="1:39">
      <c r="A211" s="3"/>
      <c r="B211" s="20"/>
      <c r="C211" s="20"/>
      <c r="D211" s="20"/>
      <c r="E211" s="20"/>
      <c r="F211" s="308"/>
      <c r="G211" s="308"/>
      <c r="H211" s="308"/>
      <c r="I211" s="308"/>
      <c r="J211" s="308"/>
      <c r="K211" s="20"/>
      <c r="L211" s="20"/>
      <c r="M211" s="308"/>
      <c r="N211" s="20"/>
      <c r="O211" s="20"/>
      <c r="P211" s="20"/>
      <c r="Q211" s="20"/>
      <c r="R211" s="20"/>
      <c r="S211" s="67"/>
      <c r="T211" s="67"/>
      <c r="U211" s="67"/>
      <c r="V211" s="8"/>
      <c r="W211" s="8"/>
      <c r="X211" s="8"/>
      <c r="Y211" s="8"/>
      <c r="Z211" s="8"/>
      <c r="AA211" s="8"/>
      <c r="AB211" s="8"/>
      <c r="AC211" s="8"/>
      <c r="AD211" s="8"/>
      <c r="AE211" s="8"/>
      <c r="AF211" s="8"/>
      <c r="AG211" s="8"/>
      <c r="AH211" s="8"/>
      <c r="AI211" s="8"/>
      <c r="AJ211" s="8"/>
      <c r="AK211" s="8"/>
      <c r="AL211" s="8"/>
      <c r="AM211" s="8"/>
    </row>
    <row r="212" spans="1:39">
      <c r="A212" s="3"/>
      <c r="B212" s="20"/>
      <c r="C212" s="20"/>
      <c r="D212" s="20"/>
      <c r="E212" s="20"/>
      <c r="F212" s="308"/>
      <c r="G212" s="308"/>
      <c r="H212" s="308"/>
      <c r="I212" s="308"/>
      <c r="J212" s="308"/>
      <c r="K212" s="20"/>
      <c r="L212" s="20"/>
      <c r="M212" s="308"/>
      <c r="N212" s="20"/>
      <c r="O212" s="20"/>
      <c r="P212" s="20"/>
      <c r="Q212" s="20"/>
      <c r="R212" s="20"/>
      <c r="S212" s="67"/>
      <c r="T212" s="67"/>
      <c r="U212" s="67"/>
      <c r="V212" s="8"/>
      <c r="W212" s="8"/>
      <c r="X212" s="8"/>
      <c r="Y212" s="8"/>
      <c r="Z212" s="8"/>
      <c r="AA212" s="8"/>
      <c r="AB212" s="8"/>
      <c r="AC212" s="8"/>
      <c r="AD212" s="8"/>
      <c r="AE212" s="8"/>
      <c r="AF212" s="8"/>
      <c r="AG212" s="8"/>
      <c r="AH212" s="8"/>
      <c r="AI212" s="8"/>
      <c r="AJ212" s="8"/>
      <c r="AK212" s="8"/>
      <c r="AL212" s="8"/>
      <c r="AM212" s="8"/>
    </row>
    <row r="213" spans="1:39">
      <c r="A213" s="3"/>
      <c r="B213" s="20"/>
      <c r="C213" s="20"/>
      <c r="D213" s="20"/>
      <c r="E213" s="20"/>
      <c r="F213" s="308"/>
      <c r="G213" s="308"/>
      <c r="H213" s="308"/>
      <c r="I213" s="308"/>
      <c r="J213" s="308"/>
      <c r="K213" s="20"/>
      <c r="L213" s="20"/>
      <c r="M213" s="308"/>
      <c r="N213" s="20"/>
      <c r="O213" s="20"/>
      <c r="P213" s="20"/>
      <c r="Q213" s="20"/>
      <c r="R213" s="20"/>
      <c r="S213" s="67"/>
      <c r="T213" s="67"/>
      <c r="U213" s="67"/>
      <c r="V213" s="8"/>
      <c r="W213" s="8"/>
      <c r="X213" s="8"/>
      <c r="Y213" s="8"/>
      <c r="Z213" s="8"/>
      <c r="AA213" s="8"/>
      <c r="AB213" s="8"/>
      <c r="AC213" s="8"/>
      <c r="AD213" s="8"/>
      <c r="AE213" s="8"/>
      <c r="AF213" s="8"/>
      <c r="AG213" s="8"/>
      <c r="AH213" s="8"/>
      <c r="AI213" s="8"/>
      <c r="AJ213" s="8"/>
      <c r="AK213" s="8"/>
      <c r="AL213" s="8"/>
      <c r="AM213" s="8"/>
    </row>
    <row r="214" spans="1:39">
      <c r="A214" s="3"/>
      <c r="B214" s="20"/>
      <c r="C214" s="20"/>
      <c r="D214" s="20"/>
      <c r="E214" s="20"/>
      <c r="F214" s="308"/>
      <c r="G214" s="308"/>
      <c r="H214" s="308"/>
      <c r="I214" s="308"/>
      <c r="J214" s="308"/>
      <c r="K214" s="20"/>
      <c r="L214" s="20"/>
      <c r="M214" s="308"/>
      <c r="N214" s="20"/>
      <c r="O214" s="20"/>
      <c r="P214" s="20"/>
      <c r="Q214" s="20"/>
      <c r="R214" s="20"/>
      <c r="S214" s="67"/>
      <c r="T214" s="67"/>
      <c r="U214" s="67"/>
      <c r="V214" s="8"/>
      <c r="W214" s="8"/>
      <c r="X214" s="8"/>
      <c r="Y214" s="8"/>
      <c r="Z214" s="8"/>
      <c r="AA214" s="8"/>
      <c r="AB214" s="8"/>
      <c r="AC214" s="8"/>
      <c r="AD214" s="8"/>
      <c r="AE214" s="8"/>
      <c r="AF214" s="8"/>
      <c r="AG214" s="8"/>
      <c r="AH214" s="8"/>
      <c r="AI214" s="8"/>
      <c r="AJ214" s="8"/>
      <c r="AK214" s="8"/>
      <c r="AL214" s="8"/>
      <c r="AM214" s="8"/>
    </row>
    <row r="215" spans="1:39">
      <c r="A215" s="3"/>
      <c r="B215" s="20"/>
      <c r="C215" s="20"/>
      <c r="D215" s="20"/>
      <c r="E215" s="20"/>
      <c r="F215" s="308"/>
      <c r="G215" s="308"/>
      <c r="H215" s="308"/>
      <c r="I215" s="308"/>
      <c r="J215" s="308"/>
      <c r="K215" s="20"/>
      <c r="L215" s="20"/>
      <c r="M215" s="308"/>
      <c r="N215" s="20"/>
      <c r="O215" s="20"/>
      <c r="P215" s="20"/>
      <c r="Q215" s="20"/>
      <c r="R215" s="20"/>
      <c r="S215" s="67"/>
      <c r="T215" s="67"/>
      <c r="U215" s="67"/>
      <c r="V215" s="8"/>
      <c r="W215" s="8"/>
      <c r="X215" s="8"/>
      <c r="Y215" s="8"/>
      <c r="Z215" s="8"/>
      <c r="AA215" s="8"/>
      <c r="AB215" s="8"/>
      <c r="AC215" s="8"/>
      <c r="AD215" s="8"/>
      <c r="AE215" s="8"/>
      <c r="AF215" s="8"/>
      <c r="AG215" s="8"/>
      <c r="AH215" s="8"/>
      <c r="AI215" s="8"/>
      <c r="AJ215" s="8"/>
      <c r="AK215" s="8"/>
      <c r="AL215" s="8"/>
      <c r="AM215" s="8"/>
    </row>
    <row r="216" spans="1:39">
      <c r="A216" s="3"/>
      <c r="B216" s="20"/>
      <c r="C216" s="20"/>
      <c r="D216" s="20"/>
      <c r="E216" s="20"/>
      <c r="F216" s="308"/>
      <c r="G216" s="308"/>
      <c r="H216" s="308"/>
      <c r="I216" s="308"/>
      <c r="J216" s="308"/>
      <c r="K216" s="20"/>
      <c r="L216" s="20"/>
      <c r="M216" s="308"/>
      <c r="N216" s="20"/>
      <c r="O216" s="20"/>
      <c r="P216" s="20"/>
      <c r="Q216" s="20"/>
      <c r="R216" s="20"/>
      <c r="S216" s="67"/>
      <c r="T216" s="67"/>
      <c r="U216" s="67"/>
      <c r="V216" s="8"/>
      <c r="W216" s="8"/>
      <c r="X216" s="8"/>
      <c r="Y216" s="8"/>
      <c r="Z216" s="8"/>
      <c r="AA216" s="8"/>
      <c r="AB216" s="8"/>
      <c r="AC216" s="8"/>
      <c r="AD216" s="8"/>
      <c r="AE216" s="8"/>
      <c r="AF216" s="8"/>
      <c r="AG216" s="8"/>
      <c r="AH216" s="8"/>
      <c r="AI216" s="8"/>
      <c r="AJ216" s="8"/>
      <c r="AK216" s="8"/>
      <c r="AL216" s="8"/>
      <c r="AM216" s="8"/>
    </row>
    <row r="217" spans="1:39">
      <c r="A217" s="3"/>
      <c r="B217" s="20"/>
      <c r="C217" s="20"/>
      <c r="D217" s="20"/>
      <c r="E217" s="20"/>
      <c r="F217" s="308"/>
      <c r="G217" s="308"/>
      <c r="H217" s="308"/>
      <c r="I217" s="308"/>
      <c r="J217" s="308"/>
      <c r="K217" s="20"/>
      <c r="L217" s="20"/>
      <c r="M217" s="308"/>
      <c r="N217" s="20"/>
      <c r="O217" s="20"/>
      <c r="P217" s="20"/>
      <c r="Q217" s="20"/>
      <c r="R217" s="20"/>
      <c r="S217" s="67"/>
      <c r="T217" s="67"/>
      <c r="U217" s="67"/>
      <c r="V217" s="8"/>
      <c r="W217" s="8"/>
      <c r="X217" s="8"/>
      <c r="Y217" s="8"/>
      <c r="Z217" s="8"/>
      <c r="AA217" s="8"/>
      <c r="AB217" s="8"/>
      <c r="AC217" s="8"/>
      <c r="AD217" s="8"/>
      <c r="AE217" s="8"/>
      <c r="AF217" s="8"/>
      <c r="AG217" s="8"/>
      <c r="AH217" s="8"/>
      <c r="AI217" s="8"/>
      <c r="AJ217" s="8"/>
      <c r="AK217" s="8"/>
      <c r="AL217" s="8"/>
      <c r="AM217" s="8"/>
    </row>
    <row r="218" spans="1:39">
      <c r="A218" s="3"/>
      <c r="B218" s="20"/>
      <c r="C218" s="20"/>
      <c r="D218" s="20"/>
      <c r="E218" s="20"/>
      <c r="F218" s="308"/>
      <c r="G218" s="308"/>
      <c r="H218" s="308"/>
      <c r="I218" s="308"/>
      <c r="J218" s="308"/>
      <c r="K218" s="20"/>
      <c r="L218" s="20"/>
      <c r="M218" s="308"/>
      <c r="N218" s="20"/>
      <c r="O218" s="20"/>
      <c r="P218" s="20"/>
      <c r="Q218" s="20"/>
      <c r="R218" s="20"/>
      <c r="S218" s="67"/>
      <c r="T218" s="67"/>
      <c r="U218" s="67"/>
      <c r="V218" s="8"/>
      <c r="W218" s="8"/>
      <c r="X218" s="8"/>
      <c r="Y218" s="8"/>
      <c r="Z218" s="8"/>
      <c r="AA218" s="8"/>
      <c r="AB218" s="8"/>
      <c r="AC218" s="8"/>
      <c r="AD218" s="8"/>
      <c r="AE218" s="8"/>
      <c r="AF218" s="8"/>
      <c r="AG218" s="8"/>
      <c r="AH218" s="8"/>
      <c r="AI218" s="8"/>
      <c r="AJ218" s="8"/>
      <c r="AK218" s="8"/>
      <c r="AL218" s="8"/>
      <c r="AM218" s="8"/>
    </row>
    <row r="219" spans="1:39">
      <c r="A219" s="3"/>
      <c r="B219" s="20"/>
      <c r="C219" s="20"/>
      <c r="D219" s="20"/>
      <c r="E219" s="20"/>
      <c r="F219" s="308"/>
      <c r="G219" s="308"/>
      <c r="H219" s="308"/>
      <c r="I219" s="308"/>
      <c r="J219" s="308"/>
      <c r="K219" s="20"/>
      <c r="L219" s="20"/>
      <c r="M219" s="308"/>
      <c r="N219" s="20"/>
      <c r="O219" s="20"/>
      <c r="P219" s="20"/>
      <c r="Q219" s="20"/>
      <c r="R219" s="20"/>
      <c r="S219" s="67"/>
      <c r="T219" s="67"/>
      <c r="U219" s="67"/>
      <c r="V219" s="8"/>
      <c r="W219" s="8"/>
      <c r="X219" s="8"/>
      <c r="Y219" s="8"/>
      <c r="Z219" s="8"/>
      <c r="AA219" s="8"/>
      <c r="AB219" s="8"/>
      <c r="AC219" s="8"/>
      <c r="AD219" s="8"/>
      <c r="AE219" s="8"/>
      <c r="AF219" s="8"/>
      <c r="AG219" s="8"/>
      <c r="AH219" s="8"/>
      <c r="AI219" s="8"/>
      <c r="AJ219" s="8"/>
      <c r="AK219" s="8"/>
      <c r="AL219" s="8"/>
      <c r="AM219" s="8"/>
    </row>
    <row r="220" spans="1:39">
      <c r="A220" s="3"/>
      <c r="B220" s="20"/>
      <c r="C220" s="20"/>
      <c r="D220" s="20"/>
      <c r="E220" s="20"/>
      <c r="F220" s="308"/>
      <c r="G220" s="308"/>
      <c r="H220" s="308"/>
      <c r="I220" s="308"/>
      <c r="J220" s="308"/>
      <c r="K220" s="20"/>
      <c r="L220" s="20"/>
      <c r="M220" s="308"/>
      <c r="N220" s="20"/>
      <c r="O220" s="20"/>
      <c r="P220" s="20"/>
      <c r="Q220" s="20"/>
      <c r="R220" s="20"/>
      <c r="S220" s="67"/>
      <c r="T220" s="67"/>
      <c r="U220" s="67"/>
      <c r="V220" s="8"/>
      <c r="W220" s="8"/>
      <c r="X220" s="8"/>
      <c r="Y220" s="8"/>
      <c r="Z220" s="8"/>
      <c r="AA220" s="8"/>
      <c r="AB220" s="8"/>
      <c r="AC220" s="8"/>
      <c r="AD220" s="8"/>
      <c r="AE220" s="8"/>
      <c r="AF220" s="8"/>
      <c r="AG220" s="8"/>
      <c r="AH220" s="8"/>
      <c r="AI220" s="8"/>
      <c r="AJ220" s="8"/>
      <c r="AK220" s="8"/>
      <c r="AL220" s="8"/>
      <c r="AM220" s="8"/>
    </row>
    <row r="221" spans="1:39">
      <c r="A221" s="3"/>
      <c r="B221" s="20"/>
      <c r="C221" s="20"/>
      <c r="D221" s="20"/>
      <c r="E221" s="20"/>
      <c r="F221" s="308"/>
      <c r="G221" s="308"/>
      <c r="H221" s="308"/>
      <c r="I221" s="308"/>
      <c r="J221" s="308"/>
      <c r="K221" s="20"/>
      <c r="L221" s="20"/>
      <c r="M221" s="308"/>
      <c r="N221" s="20"/>
      <c r="O221" s="20"/>
      <c r="P221" s="20"/>
      <c r="Q221" s="20"/>
      <c r="R221" s="20"/>
      <c r="S221" s="67"/>
      <c r="T221" s="67"/>
      <c r="U221" s="67"/>
      <c r="V221" s="8"/>
      <c r="W221" s="8"/>
      <c r="X221" s="8"/>
      <c r="Y221" s="8"/>
      <c r="Z221" s="8"/>
      <c r="AA221" s="8"/>
      <c r="AB221" s="8"/>
      <c r="AC221" s="8"/>
      <c r="AD221" s="8"/>
      <c r="AE221" s="8"/>
      <c r="AF221" s="8"/>
      <c r="AG221" s="8"/>
      <c r="AH221" s="8"/>
      <c r="AI221" s="8"/>
      <c r="AJ221" s="8"/>
      <c r="AK221" s="8"/>
      <c r="AL221" s="8"/>
      <c r="AM221" s="8"/>
    </row>
    <row r="222" spans="1:39">
      <c r="A222" s="3"/>
      <c r="B222" s="20"/>
      <c r="C222" s="20"/>
      <c r="D222" s="20"/>
      <c r="E222" s="20"/>
      <c r="F222" s="308"/>
      <c r="G222" s="308"/>
      <c r="H222" s="308"/>
      <c r="I222" s="308"/>
      <c r="J222" s="308"/>
      <c r="K222" s="20"/>
      <c r="L222" s="20"/>
      <c r="M222" s="308"/>
      <c r="N222" s="20"/>
      <c r="O222" s="20"/>
      <c r="P222" s="20"/>
      <c r="Q222" s="20"/>
      <c r="R222" s="20"/>
      <c r="S222" s="67"/>
      <c r="T222" s="67"/>
      <c r="U222" s="67"/>
      <c r="V222" s="8"/>
      <c r="W222" s="8"/>
      <c r="X222" s="8"/>
      <c r="Y222" s="8"/>
      <c r="Z222" s="8"/>
      <c r="AA222" s="8"/>
      <c r="AB222" s="8"/>
      <c r="AC222" s="8"/>
      <c r="AD222" s="8"/>
      <c r="AE222" s="8"/>
      <c r="AF222" s="8"/>
      <c r="AG222" s="8"/>
      <c r="AH222" s="8"/>
      <c r="AI222" s="8"/>
      <c r="AJ222" s="8"/>
      <c r="AK222" s="8"/>
      <c r="AL222" s="8"/>
      <c r="AM222" s="8"/>
    </row>
    <row r="223" spans="1:39">
      <c r="A223" s="3"/>
      <c r="B223" s="20"/>
      <c r="C223" s="20"/>
      <c r="D223" s="20"/>
      <c r="E223" s="20"/>
      <c r="F223" s="308"/>
      <c r="G223" s="308"/>
      <c r="H223" s="308"/>
      <c r="I223" s="308"/>
      <c r="J223" s="308"/>
      <c r="K223" s="20"/>
      <c r="L223" s="20"/>
      <c r="M223" s="308"/>
      <c r="N223" s="20"/>
      <c r="O223" s="20"/>
      <c r="P223" s="20"/>
      <c r="Q223" s="20"/>
      <c r="R223" s="20"/>
      <c r="S223" s="67"/>
      <c r="T223" s="67"/>
      <c r="U223" s="67"/>
      <c r="V223" s="8"/>
      <c r="W223" s="8"/>
      <c r="X223" s="8"/>
      <c r="Y223" s="8"/>
      <c r="Z223" s="8"/>
      <c r="AA223" s="8"/>
      <c r="AB223" s="8"/>
      <c r="AC223" s="8"/>
      <c r="AD223" s="8"/>
      <c r="AE223" s="8"/>
      <c r="AF223" s="8"/>
      <c r="AG223" s="8"/>
      <c r="AH223" s="8"/>
      <c r="AI223" s="8"/>
      <c r="AJ223" s="8"/>
      <c r="AK223" s="8"/>
      <c r="AL223" s="8"/>
      <c r="AM223" s="8"/>
    </row>
    <row r="224" spans="1:39">
      <c r="A224" s="3"/>
      <c r="B224" s="20"/>
      <c r="C224" s="20"/>
      <c r="D224" s="20"/>
      <c r="E224" s="20"/>
      <c r="F224" s="308"/>
      <c r="G224" s="308"/>
      <c r="H224" s="308"/>
      <c r="I224" s="308"/>
      <c r="J224" s="308"/>
      <c r="K224" s="20"/>
      <c r="L224" s="20"/>
      <c r="M224" s="308"/>
      <c r="N224" s="20"/>
      <c r="O224" s="20"/>
      <c r="P224" s="20"/>
      <c r="Q224" s="20"/>
      <c r="R224" s="20"/>
      <c r="S224" s="67"/>
      <c r="T224" s="67"/>
      <c r="U224" s="67"/>
      <c r="V224" s="8"/>
      <c r="W224" s="8"/>
      <c r="X224" s="8"/>
      <c r="Y224" s="8"/>
      <c r="Z224" s="8"/>
      <c r="AA224" s="8"/>
      <c r="AB224" s="8"/>
      <c r="AC224" s="8"/>
      <c r="AD224" s="8"/>
      <c r="AE224" s="8"/>
      <c r="AF224" s="8"/>
      <c r="AG224" s="8"/>
      <c r="AH224" s="8"/>
      <c r="AI224" s="8"/>
      <c r="AJ224" s="8"/>
      <c r="AK224" s="8"/>
      <c r="AL224" s="8"/>
      <c r="AM224" s="8"/>
    </row>
    <row r="225" spans="1:39">
      <c r="A225" s="3"/>
      <c r="B225" s="20"/>
      <c r="C225" s="20"/>
      <c r="D225" s="20"/>
      <c r="E225" s="20"/>
      <c r="F225" s="308"/>
      <c r="G225" s="308"/>
      <c r="H225" s="308"/>
      <c r="I225" s="308"/>
      <c r="J225" s="308"/>
      <c r="K225" s="20"/>
      <c r="L225" s="20"/>
      <c r="M225" s="308"/>
      <c r="N225" s="20"/>
      <c r="O225" s="20"/>
      <c r="P225" s="20"/>
      <c r="Q225" s="20"/>
      <c r="R225" s="20"/>
      <c r="S225" s="67"/>
      <c r="T225" s="67"/>
      <c r="U225" s="67"/>
      <c r="V225" s="8"/>
      <c r="W225" s="8"/>
      <c r="X225" s="8"/>
      <c r="Y225" s="8"/>
      <c r="Z225" s="8"/>
      <c r="AA225" s="8"/>
      <c r="AB225" s="8"/>
      <c r="AC225" s="8"/>
      <c r="AD225" s="8"/>
      <c r="AE225" s="8"/>
      <c r="AF225" s="8"/>
      <c r="AG225" s="8"/>
      <c r="AH225" s="8"/>
      <c r="AI225" s="8"/>
      <c r="AJ225" s="8"/>
      <c r="AK225" s="8"/>
      <c r="AL225" s="8"/>
      <c r="AM225" s="8"/>
    </row>
    <row r="226" spans="1:39">
      <c r="A226" s="3"/>
      <c r="B226" s="20"/>
      <c r="C226" s="20"/>
      <c r="D226" s="20"/>
      <c r="E226" s="20"/>
      <c r="F226" s="308"/>
      <c r="G226" s="308"/>
      <c r="H226" s="308"/>
      <c r="I226" s="308"/>
      <c r="J226" s="308"/>
      <c r="K226" s="20"/>
      <c r="L226" s="20"/>
      <c r="M226" s="308"/>
      <c r="N226" s="20"/>
      <c r="O226" s="20"/>
      <c r="P226" s="20"/>
      <c r="Q226" s="20"/>
      <c r="R226" s="20"/>
      <c r="S226" s="67"/>
      <c r="T226" s="67"/>
      <c r="U226" s="67"/>
      <c r="V226" s="8"/>
      <c r="W226" s="8"/>
      <c r="X226" s="8"/>
      <c r="Y226" s="8"/>
      <c r="Z226" s="8"/>
      <c r="AA226" s="8"/>
      <c r="AB226" s="8"/>
      <c r="AC226" s="8"/>
      <c r="AD226" s="8"/>
      <c r="AE226" s="8"/>
      <c r="AF226" s="8"/>
      <c r="AG226" s="8"/>
      <c r="AH226" s="8"/>
      <c r="AI226" s="8"/>
      <c r="AJ226" s="8"/>
      <c r="AK226" s="8"/>
      <c r="AL226" s="8"/>
      <c r="AM226" s="8"/>
    </row>
    <row r="227" spans="1:39">
      <c r="A227" s="3"/>
      <c r="B227" s="20"/>
      <c r="C227" s="20"/>
      <c r="D227" s="20"/>
      <c r="E227" s="20"/>
      <c r="F227" s="308"/>
      <c r="G227" s="308"/>
      <c r="H227" s="308"/>
      <c r="I227" s="308"/>
      <c r="J227" s="308"/>
      <c r="K227" s="20"/>
      <c r="L227" s="20"/>
      <c r="M227" s="308"/>
      <c r="N227" s="20"/>
      <c r="O227" s="20"/>
      <c r="P227" s="20"/>
      <c r="Q227" s="20"/>
      <c r="R227" s="20"/>
      <c r="S227" s="67"/>
      <c r="T227" s="67"/>
      <c r="U227" s="67"/>
      <c r="V227" s="8"/>
      <c r="W227" s="8"/>
      <c r="X227" s="8"/>
      <c r="Y227" s="8"/>
      <c r="Z227" s="8"/>
      <c r="AA227" s="8"/>
      <c r="AB227" s="8"/>
      <c r="AC227" s="8"/>
      <c r="AD227" s="8"/>
      <c r="AE227" s="8"/>
      <c r="AF227" s="8"/>
      <c r="AG227" s="8"/>
      <c r="AH227" s="8"/>
      <c r="AI227" s="8"/>
      <c r="AJ227" s="8"/>
      <c r="AK227" s="8"/>
      <c r="AL227" s="8"/>
      <c r="AM227" s="8"/>
    </row>
    <row r="228" spans="1:39">
      <c r="A228" s="3"/>
      <c r="B228" s="20"/>
      <c r="C228" s="20"/>
      <c r="D228" s="20"/>
      <c r="E228" s="20"/>
      <c r="F228" s="308"/>
      <c r="G228" s="308"/>
      <c r="H228" s="308"/>
      <c r="I228" s="308"/>
      <c r="J228" s="308"/>
      <c r="K228" s="20"/>
      <c r="L228" s="20"/>
      <c r="M228" s="308"/>
      <c r="N228" s="20"/>
      <c r="O228" s="20"/>
      <c r="P228" s="20"/>
      <c r="Q228" s="20"/>
      <c r="R228" s="20"/>
      <c r="S228" s="67"/>
      <c r="T228" s="67"/>
      <c r="U228" s="67"/>
      <c r="V228" s="8"/>
      <c r="W228" s="8"/>
      <c r="X228" s="8"/>
      <c r="Y228" s="8"/>
      <c r="Z228" s="8"/>
      <c r="AA228" s="8"/>
      <c r="AB228" s="8"/>
      <c r="AC228" s="8"/>
      <c r="AD228" s="8"/>
      <c r="AE228" s="8"/>
      <c r="AF228" s="8"/>
      <c r="AG228" s="8"/>
      <c r="AH228" s="8"/>
      <c r="AI228" s="8"/>
      <c r="AJ228" s="8"/>
      <c r="AK228" s="8"/>
      <c r="AL228" s="8"/>
      <c r="AM228" s="8"/>
    </row>
    <row r="229" spans="1:39">
      <c r="A229" s="3"/>
      <c r="B229" s="20"/>
      <c r="C229" s="20"/>
      <c r="D229" s="20"/>
      <c r="E229" s="20"/>
      <c r="F229" s="308"/>
      <c r="G229" s="308"/>
      <c r="H229" s="308"/>
      <c r="I229" s="308"/>
      <c r="J229" s="308"/>
      <c r="K229" s="20"/>
      <c r="L229" s="20"/>
      <c r="M229" s="308"/>
      <c r="N229" s="20"/>
      <c r="O229" s="20"/>
      <c r="P229" s="20"/>
      <c r="Q229" s="20"/>
      <c r="R229" s="20"/>
      <c r="S229" s="67"/>
      <c r="T229" s="67"/>
      <c r="U229" s="67"/>
      <c r="V229" s="8"/>
      <c r="W229" s="8"/>
      <c r="X229" s="8"/>
      <c r="Y229" s="8"/>
      <c r="Z229" s="8"/>
      <c r="AA229" s="8"/>
      <c r="AB229" s="8"/>
      <c r="AC229" s="8"/>
      <c r="AD229" s="8"/>
      <c r="AE229" s="8"/>
      <c r="AF229" s="8"/>
      <c r="AG229" s="8"/>
      <c r="AH229" s="8"/>
      <c r="AI229" s="8"/>
      <c r="AJ229" s="8"/>
      <c r="AK229" s="8"/>
      <c r="AL229" s="8"/>
      <c r="AM229" s="8"/>
    </row>
    <row r="230" spans="1:39">
      <c r="A230" s="3"/>
      <c r="B230" s="20"/>
      <c r="C230" s="20"/>
      <c r="D230" s="20"/>
      <c r="E230" s="20"/>
      <c r="F230" s="308"/>
      <c r="G230" s="308"/>
      <c r="H230" s="308"/>
      <c r="I230" s="308"/>
      <c r="J230" s="308"/>
      <c r="K230" s="20"/>
      <c r="L230" s="20"/>
      <c r="M230" s="308"/>
      <c r="N230" s="20"/>
      <c r="O230" s="20"/>
      <c r="P230" s="20"/>
      <c r="Q230" s="20"/>
      <c r="R230" s="20"/>
      <c r="S230" s="67"/>
      <c r="T230" s="67"/>
      <c r="U230" s="67"/>
      <c r="V230" s="8"/>
      <c r="W230" s="8"/>
      <c r="X230" s="8"/>
      <c r="Y230" s="8"/>
      <c r="Z230" s="8"/>
      <c r="AA230" s="8"/>
      <c r="AB230" s="8"/>
      <c r="AC230" s="8"/>
      <c r="AD230" s="8"/>
      <c r="AE230" s="8"/>
      <c r="AF230" s="8"/>
      <c r="AG230" s="8"/>
      <c r="AH230" s="8"/>
      <c r="AI230" s="8"/>
      <c r="AJ230" s="8"/>
      <c r="AK230" s="8"/>
      <c r="AL230" s="8"/>
      <c r="AM230" s="8"/>
    </row>
    <row r="231" spans="1:39">
      <c r="A231" s="3"/>
      <c r="B231" s="20"/>
      <c r="C231" s="20"/>
      <c r="D231" s="20"/>
      <c r="E231" s="20"/>
      <c r="F231" s="308"/>
      <c r="G231" s="308"/>
      <c r="H231" s="308"/>
      <c r="I231" s="308"/>
      <c r="J231" s="308"/>
      <c r="K231" s="20"/>
      <c r="L231" s="20"/>
      <c r="M231" s="308"/>
      <c r="N231" s="20"/>
      <c r="O231" s="20"/>
      <c r="P231" s="20"/>
      <c r="Q231" s="20"/>
      <c r="R231" s="20"/>
      <c r="S231" s="67"/>
      <c r="T231" s="67"/>
      <c r="U231" s="67"/>
      <c r="V231" s="8"/>
      <c r="W231" s="8"/>
      <c r="X231" s="8"/>
      <c r="Y231" s="8"/>
      <c r="Z231" s="8"/>
      <c r="AA231" s="8"/>
      <c r="AB231" s="8"/>
      <c r="AC231" s="8"/>
      <c r="AD231" s="8"/>
      <c r="AE231" s="8"/>
      <c r="AF231" s="8"/>
      <c r="AG231" s="8"/>
      <c r="AH231" s="8"/>
      <c r="AI231" s="8"/>
      <c r="AJ231" s="8"/>
      <c r="AK231" s="8"/>
      <c r="AL231" s="8"/>
      <c r="AM231" s="8"/>
    </row>
    <row r="232" spans="1:39">
      <c r="A232" s="3"/>
      <c r="B232" s="20"/>
      <c r="C232" s="20"/>
      <c r="D232" s="20"/>
      <c r="E232" s="20"/>
      <c r="F232" s="308"/>
      <c r="G232" s="308"/>
      <c r="H232" s="308"/>
      <c r="I232" s="308"/>
      <c r="J232" s="308"/>
      <c r="K232" s="20"/>
      <c r="L232" s="20"/>
      <c r="M232" s="308"/>
      <c r="N232" s="20"/>
      <c r="O232" s="20"/>
      <c r="P232" s="20"/>
      <c r="Q232" s="20"/>
      <c r="R232" s="20"/>
      <c r="S232" s="67"/>
      <c r="T232" s="67"/>
      <c r="U232" s="67"/>
      <c r="V232" s="8"/>
      <c r="W232" s="8"/>
      <c r="X232" s="8"/>
      <c r="Y232" s="8"/>
      <c r="Z232" s="8"/>
      <c r="AA232" s="8"/>
      <c r="AB232" s="8"/>
      <c r="AC232" s="8"/>
      <c r="AD232" s="8"/>
      <c r="AE232" s="8"/>
      <c r="AF232" s="8"/>
      <c r="AG232" s="8"/>
      <c r="AH232" s="8"/>
      <c r="AI232" s="8"/>
      <c r="AJ232" s="8"/>
      <c r="AK232" s="8"/>
      <c r="AL232" s="8"/>
      <c r="AM232" s="8"/>
    </row>
    <row r="233" spans="1:39">
      <c r="A233" s="3"/>
      <c r="B233" s="20"/>
      <c r="C233" s="20"/>
      <c r="D233" s="20"/>
      <c r="E233" s="20"/>
      <c r="F233" s="308"/>
      <c r="G233" s="308"/>
      <c r="H233" s="308"/>
      <c r="I233" s="308"/>
      <c r="J233" s="308"/>
      <c r="K233" s="20"/>
      <c r="L233" s="20"/>
      <c r="M233" s="308"/>
      <c r="N233" s="20"/>
      <c r="O233" s="20"/>
      <c r="P233" s="20"/>
      <c r="Q233" s="20"/>
      <c r="R233" s="20"/>
      <c r="S233" s="67"/>
      <c r="T233" s="67"/>
      <c r="U233" s="67"/>
      <c r="V233" s="8"/>
      <c r="W233" s="8"/>
      <c r="X233" s="8"/>
      <c r="Y233" s="8"/>
      <c r="Z233" s="8"/>
      <c r="AA233" s="8"/>
      <c r="AB233" s="8"/>
      <c r="AC233" s="8"/>
      <c r="AD233" s="8"/>
      <c r="AE233" s="8"/>
      <c r="AF233" s="8"/>
      <c r="AG233" s="8"/>
      <c r="AH233" s="8"/>
      <c r="AI233" s="8"/>
      <c r="AJ233" s="8"/>
      <c r="AK233" s="8"/>
      <c r="AL233" s="8"/>
      <c r="AM233" s="8"/>
    </row>
    <row r="234" spans="1:39">
      <c r="A234" s="3"/>
      <c r="B234" s="20"/>
      <c r="C234" s="20"/>
      <c r="D234" s="20"/>
      <c r="E234" s="20"/>
      <c r="F234" s="308"/>
      <c r="G234" s="308"/>
      <c r="H234" s="308"/>
      <c r="I234" s="308"/>
      <c r="J234" s="308"/>
      <c r="K234" s="20"/>
      <c r="L234" s="20"/>
      <c r="M234" s="308"/>
      <c r="N234" s="20"/>
      <c r="O234" s="20"/>
      <c r="P234" s="20"/>
      <c r="Q234" s="20"/>
      <c r="R234" s="20"/>
      <c r="S234" s="67"/>
      <c r="T234" s="67"/>
      <c r="U234" s="67"/>
      <c r="V234" s="8"/>
      <c r="W234" s="8"/>
      <c r="X234" s="8"/>
      <c r="Y234" s="8"/>
      <c r="Z234" s="8"/>
      <c r="AA234" s="8"/>
      <c r="AB234" s="8"/>
      <c r="AC234" s="8"/>
      <c r="AD234" s="8"/>
      <c r="AE234" s="8"/>
      <c r="AF234" s="8"/>
      <c r="AG234" s="8"/>
      <c r="AH234" s="8"/>
      <c r="AI234" s="8"/>
      <c r="AJ234" s="8"/>
      <c r="AK234" s="8"/>
      <c r="AL234" s="8"/>
      <c r="AM234" s="8"/>
    </row>
    <row r="235" spans="1:39">
      <c r="A235" s="3"/>
      <c r="B235" s="20"/>
      <c r="C235" s="20"/>
      <c r="D235" s="20"/>
      <c r="E235" s="20"/>
      <c r="F235" s="308"/>
      <c r="G235" s="308"/>
      <c r="H235" s="308"/>
      <c r="I235" s="308"/>
      <c r="J235" s="308"/>
      <c r="K235" s="20"/>
      <c r="L235" s="20"/>
      <c r="M235" s="308"/>
      <c r="N235" s="20"/>
      <c r="O235" s="20"/>
      <c r="P235" s="20"/>
      <c r="Q235" s="20"/>
      <c r="R235" s="20"/>
      <c r="S235" s="67"/>
      <c r="T235" s="67"/>
      <c r="U235" s="67"/>
      <c r="V235" s="8"/>
      <c r="W235" s="8"/>
      <c r="X235" s="8"/>
      <c r="Y235" s="8"/>
      <c r="Z235" s="8"/>
      <c r="AA235" s="8"/>
      <c r="AB235" s="8"/>
      <c r="AC235" s="8"/>
      <c r="AD235" s="8"/>
      <c r="AE235" s="8"/>
      <c r="AF235" s="8"/>
      <c r="AG235" s="8"/>
      <c r="AH235" s="8"/>
      <c r="AI235" s="8"/>
      <c r="AJ235" s="8"/>
      <c r="AK235" s="8"/>
      <c r="AL235" s="8"/>
      <c r="AM235" s="8"/>
    </row>
    <row r="236" spans="1:39">
      <c r="A236" s="3"/>
      <c r="B236" s="20"/>
      <c r="C236" s="20"/>
      <c r="D236" s="20"/>
      <c r="E236" s="20"/>
      <c r="F236" s="308"/>
      <c r="G236" s="308"/>
      <c r="H236" s="308"/>
      <c r="I236" s="308"/>
      <c r="J236" s="308"/>
      <c r="K236" s="20"/>
      <c r="L236" s="20"/>
      <c r="M236" s="308"/>
      <c r="N236" s="20"/>
      <c r="O236" s="20"/>
      <c r="P236" s="20"/>
      <c r="Q236" s="20"/>
      <c r="R236" s="20"/>
      <c r="S236" s="67"/>
      <c r="T236" s="67"/>
      <c r="U236" s="67"/>
      <c r="V236" s="8"/>
      <c r="W236" s="8"/>
      <c r="X236" s="8"/>
      <c r="Y236" s="8"/>
      <c r="Z236" s="8"/>
      <c r="AA236" s="8"/>
      <c r="AB236" s="8"/>
      <c r="AC236" s="8"/>
      <c r="AD236" s="8"/>
      <c r="AE236" s="8"/>
      <c r="AF236" s="8"/>
      <c r="AG236" s="8"/>
      <c r="AH236" s="8"/>
      <c r="AI236" s="8"/>
      <c r="AJ236" s="8"/>
      <c r="AK236" s="8"/>
      <c r="AL236" s="8"/>
      <c r="AM236" s="8"/>
    </row>
    <row r="237" spans="1:39">
      <c r="A237" s="3"/>
      <c r="B237" s="20"/>
      <c r="C237" s="20"/>
      <c r="D237" s="20"/>
      <c r="E237" s="20"/>
      <c r="F237" s="308"/>
      <c r="G237" s="308"/>
      <c r="H237" s="308"/>
      <c r="I237" s="308"/>
      <c r="J237" s="308"/>
      <c r="K237" s="20"/>
      <c r="L237" s="20"/>
      <c r="M237" s="308"/>
      <c r="N237" s="20"/>
      <c r="O237" s="20"/>
      <c r="P237" s="20"/>
      <c r="Q237" s="20"/>
      <c r="R237" s="20"/>
      <c r="S237" s="67"/>
      <c r="T237" s="67"/>
      <c r="U237" s="67"/>
      <c r="V237" s="8"/>
      <c r="W237" s="8"/>
      <c r="X237" s="8"/>
      <c r="Y237" s="8"/>
      <c r="Z237" s="8"/>
      <c r="AA237" s="8"/>
      <c r="AB237" s="8"/>
      <c r="AC237" s="8"/>
      <c r="AD237" s="8"/>
      <c r="AE237" s="8"/>
      <c r="AF237" s="8"/>
      <c r="AG237" s="8"/>
      <c r="AH237" s="8"/>
      <c r="AI237" s="8"/>
      <c r="AJ237" s="8"/>
      <c r="AK237" s="8"/>
      <c r="AL237" s="8"/>
      <c r="AM237" s="8"/>
    </row>
    <row r="238" spans="1:39">
      <c r="A238" s="3"/>
      <c r="B238" s="20"/>
      <c r="C238" s="20"/>
      <c r="D238" s="20"/>
      <c r="E238" s="20"/>
      <c r="F238" s="308"/>
      <c r="G238" s="308"/>
      <c r="H238" s="308"/>
      <c r="I238" s="308"/>
      <c r="J238" s="308"/>
      <c r="K238" s="20"/>
      <c r="L238" s="20"/>
      <c r="M238" s="308"/>
      <c r="N238" s="20"/>
      <c r="O238" s="20"/>
      <c r="P238" s="20"/>
      <c r="Q238" s="20"/>
      <c r="R238" s="20"/>
      <c r="S238" s="67"/>
      <c r="T238" s="67"/>
      <c r="U238" s="67"/>
      <c r="V238" s="8"/>
      <c r="W238" s="8"/>
      <c r="X238" s="8"/>
      <c r="Y238" s="8"/>
      <c r="Z238" s="8"/>
      <c r="AA238" s="8"/>
      <c r="AB238" s="8"/>
      <c r="AC238" s="8"/>
      <c r="AD238" s="8"/>
      <c r="AE238" s="8"/>
      <c r="AF238" s="8"/>
      <c r="AG238" s="8"/>
      <c r="AH238" s="8"/>
      <c r="AI238" s="8"/>
      <c r="AJ238" s="8"/>
      <c r="AK238" s="8"/>
      <c r="AL238" s="8"/>
      <c r="AM238" s="8"/>
    </row>
    <row r="239" spans="1:39">
      <c r="A239" s="3"/>
      <c r="B239" s="20"/>
      <c r="C239" s="20"/>
      <c r="D239" s="20"/>
      <c r="E239" s="20"/>
      <c r="F239" s="308"/>
      <c r="G239" s="308"/>
      <c r="H239" s="308"/>
      <c r="I239" s="308"/>
      <c r="J239" s="308"/>
      <c r="K239" s="20"/>
      <c r="L239" s="20"/>
      <c r="M239" s="308"/>
      <c r="N239" s="20"/>
      <c r="O239" s="20"/>
      <c r="P239" s="20"/>
      <c r="Q239" s="20"/>
      <c r="R239" s="20"/>
      <c r="S239" s="67"/>
      <c r="T239" s="67"/>
      <c r="U239" s="67"/>
      <c r="V239" s="8"/>
      <c r="W239" s="8"/>
      <c r="X239" s="8"/>
      <c r="Y239" s="8"/>
      <c r="Z239" s="8"/>
      <c r="AA239" s="8"/>
      <c r="AB239" s="8"/>
      <c r="AC239" s="8"/>
      <c r="AD239" s="8"/>
      <c r="AE239" s="8"/>
      <c r="AF239" s="8"/>
      <c r="AG239" s="8"/>
      <c r="AH239" s="8"/>
      <c r="AI239" s="8"/>
      <c r="AJ239" s="8"/>
      <c r="AK239" s="8"/>
      <c r="AL239" s="8"/>
      <c r="AM239" s="8"/>
    </row>
    <row r="240" spans="1:39">
      <c r="A240" s="3"/>
      <c r="B240" s="20"/>
      <c r="C240" s="20"/>
      <c r="D240" s="20"/>
      <c r="E240" s="20"/>
      <c r="F240" s="308"/>
      <c r="G240" s="308"/>
      <c r="H240" s="308"/>
      <c r="I240" s="308"/>
      <c r="J240" s="308"/>
      <c r="K240" s="20"/>
      <c r="L240" s="20"/>
      <c r="M240" s="308"/>
      <c r="N240" s="20"/>
      <c r="O240" s="20"/>
      <c r="P240" s="20"/>
      <c r="Q240" s="20"/>
      <c r="R240" s="20"/>
      <c r="S240" s="67"/>
      <c r="T240" s="67"/>
      <c r="U240" s="67"/>
      <c r="V240" s="8"/>
      <c r="W240" s="8"/>
      <c r="X240" s="8"/>
      <c r="Y240" s="8"/>
      <c r="Z240" s="8"/>
      <c r="AA240" s="8"/>
      <c r="AB240" s="8"/>
      <c r="AC240" s="8"/>
      <c r="AD240" s="8"/>
      <c r="AE240" s="8"/>
      <c r="AF240" s="8"/>
      <c r="AG240" s="8"/>
      <c r="AH240" s="8"/>
      <c r="AI240" s="8"/>
      <c r="AJ240" s="8"/>
      <c r="AK240" s="8"/>
      <c r="AL240" s="8"/>
      <c r="AM240" s="8"/>
    </row>
    <row r="241" spans="1:39">
      <c r="A241" s="3"/>
      <c r="B241" s="20"/>
      <c r="C241" s="20"/>
      <c r="D241" s="20"/>
      <c r="E241" s="20"/>
      <c r="F241" s="308"/>
      <c r="G241" s="308"/>
      <c r="H241" s="308"/>
      <c r="I241" s="308"/>
      <c r="J241" s="308"/>
      <c r="K241" s="20"/>
      <c r="L241" s="20"/>
      <c r="M241" s="308"/>
      <c r="N241" s="20"/>
      <c r="O241" s="20"/>
      <c r="P241" s="20"/>
      <c r="Q241" s="20"/>
      <c r="R241" s="20"/>
      <c r="S241" s="67"/>
      <c r="T241" s="67"/>
      <c r="U241" s="67"/>
      <c r="V241" s="8"/>
      <c r="W241" s="8"/>
      <c r="X241" s="8"/>
      <c r="Y241" s="8"/>
      <c r="Z241" s="8"/>
      <c r="AA241" s="8"/>
      <c r="AB241" s="8"/>
      <c r="AC241" s="8"/>
      <c r="AD241" s="8"/>
      <c r="AE241" s="8"/>
      <c r="AF241" s="8"/>
      <c r="AG241" s="8"/>
      <c r="AH241" s="8"/>
      <c r="AI241" s="8"/>
      <c r="AJ241" s="8"/>
      <c r="AK241" s="8"/>
      <c r="AL241" s="8"/>
      <c r="AM241" s="8"/>
    </row>
    <row r="242" spans="1:39">
      <c r="A242" s="3"/>
      <c r="B242" s="20"/>
      <c r="C242" s="20"/>
      <c r="D242" s="20"/>
      <c r="E242" s="20"/>
      <c r="F242" s="308"/>
      <c r="G242" s="308"/>
      <c r="H242" s="308"/>
      <c r="I242" s="308"/>
      <c r="J242" s="308"/>
      <c r="K242" s="20"/>
      <c r="L242" s="20"/>
      <c r="M242" s="308"/>
      <c r="N242" s="20"/>
      <c r="O242" s="20"/>
      <c r="P242" s="20"/>
      <c r="Q242" s="20"/>
      <c r="R242" s="20"/>
      <c r="S242" s="67"/>
      <c r="T242" s="67"/>
      <c r="U242" s="67"/>
      <c r="V242" s="8"/>
      <c r="W242" s="8"/>
      <c r="X242" s="8"/>
      <c r="Y242" s="8"/>
      <c r="Z242" s="8"/>
      <c r="AA242" s="8"/>
      <c r="AB242" s="8"/>
      <c r="AC242" s="8"/>
      <c r="AD242" s="8"/>
      <c r="AE242" s="8"/>
      <c r="AF242" s="8"/>
      <c r="AG242" s="8"/>
      <c r="AH242" s="8"/>
      <c r="AI242" s="8"/>
      <c r="AJ242" s="8"/>
      <c r="AK242" s="8"/>
      <c r="AL242" s="8"/>
      <c r="AM242" s="8"/>
    </row>
    <row r="243" spans="1:39">
      <c r="A243" s="3"/>
      <c r="B243" s="20"/>
      <c r="C243" s="20"/>
      <c r="D243" s="20"/>
      <c r="E243" s="20"/>
      <c r="F243" s="308"/>
      <c r="G243" s="308"/>
      <c r="H243" s="308"/>
      <c r="I243" s="308"/>
      <c r="J243" s="308"/>
      <c r="K243" s="20"/>
      <c r="L243" s="20"/>
      <c r="M243" s="308"/>
      <c r="N243" s="20"/>
      <c r="O243" s="20"/>
      <c r="P243" s="20"/>
      <c r="Q243" s="20"/>
      <c r="R243" s="20"/>
      <c r="S243" s="67"/>
      <c r="T243" s="67"/>
      <c r="U243" s="67"/>
      <c r="V243" s="8"/>
      <c r="W243" s="8"/>
      <c r="X243" s="8"/>
      <c r="Y243" s="8"/>
      <c r="Z243" s="8"/>
      <c r="AA243" s="8"/>
      <c r="AB243" s="8"/>
      <c r="AC243" s="8"/>
      <c r="AD243" s="8"/>
      <c r="AE243" s="8"/>
      <c r="AF243" s="8"/>
      <c r="AG243" s="8"/>
      <c r="AH243" s="8"/>
      <c r="AI243" s="8"/>
      <c r="AJ243" s="8"/>
      <c r="AK243" s="8"/>
      <c r="AL243" s="8"/>
      <c r="AM243" s="8"/>
    </row>
    <row r="244" spans="1:39">
      <c r="A244" s="3"/>
      <c r="B244" s="20"/>
      <c r="C244" s="20"/>
      <c r="D244" s="20"/>
      <c r="E244" s="20"/>
      <c r="F244" s="308"/>
      <c r="G244" s="308"/>
      <c r="H244" s="308"/>
      <c r="I244" s="308"/>
      <c r="J244" s="308"/>
      <c r="K244" s="20"/>
      <c r="L244" s="20"/>
      <c r="M244" s="308"/>
      <c r="N244" s="20"/>
      <c r="O244" s="20"/>
      <c r="P244" s="20"/>
      <c r="Q244" s="20"/>
      <c r="R244" s="20"/>
      <c r="S244" s="67"/>
      <c r="T244" s="67"/>
      <c r="U244" s="67"/>
      <c r="V244" s="8"/>
      <c r="W244" s="8"/>
      <c r="X244" s="8"/>
      <c r="Y244" s="8"/>
      <c r="Z244" s="8"/>
      <c r="AA244" s="8"/>
      <c r="AB244" s="8"/>
      <c r="AC244" s="8"/>
      <c r="AD244" s="8"/>
      <c r="AE244" s="8"/>
      <c r="AF244" s="8"/>
      <c r="AG244" s="8"/>
      <c r="AH244" s="8"/>
      <c r="AI244" s="8"/>
      <c r="AJ244" s="8"/>
      <c r="AK244" s="8"/>
      <c r="AL244" s="8"/>
      <c r="AM244" s="8"/>
    </row>
    <row r="245" spans="1:39">
      <c r="A245" s="3"/>
      <c r="B245" s="20"/>
      <c r="C245" s="20"/>
      <c r="D245" s="20"/>
      <c r="E245" s="20"/>
      <c r="F245" s="308"/>
      <c r="G245" s="308"/>
      <c r="H245" s="308"/>
      <c r="I245" s="308"/>
      <c r="J245" s="308"/>
      <c r="K245" s="20"/>
      <c r="L245" s="20"/>
      <c r="M245" s="308"/>
      <c r="N245" s="20"/>
      <c r="O245" s="20"/>
      <c r="P245" s="20"/>
      <c r="Q245" s="20"/>
      <c r="R245" s="20"/>
      <c r="S245" s="67"/>
      <c r="T245" s="67"/>
      <c r="U245" s="67"/>
      <c r="V245" s="8"/>
      <c r="W245" s="8"/>
      <c r="X245" s="8"/>
      <c r="Y245" s="8"/>
      <c r="Z245" s="8"/>
      <c r="AA245" s="8"/>
      <c r="AB245" s="8"/>
      <c r="AC245" s="8"/>
      <c r="AD245" s="8"/>
      <c r="AE245" s="8"/>
      <c r="AF245" s="8"/>
      <c r="AG245" s="8"/>
      <c r="AH245" s="8"/>
      <c r="AI245" s="8"/>
      <c r="AJ245" s="8"/>
      <c r="AK245" s="8"/>
      <c r="AL245" s="8"/>
      <c r="AM245" s="8"/>
    </row>
    <row r="246" spans="1:39">
      <c r="A246" s="3"/>
      <c r="B246" s="20"/>
      <c r="C246" s="20"/>
      <c r="D246" s="20"/>
      <c r="E246" s="20"/>
      <c r="F246" s="308"/>
      <c r="G246" s="308"/>
      <c r="H246" s="308"/>
      <c r="I246" s="308"/>
      <c r="J246" s="308"/>
      <c r="K246" s="20"/>
      <c r="L246" s="20"/>
      <c r="M246" s="308"/>
      <c r="N246" s="20"/>
      <c r="O246" s="20"/>
      <c r="P246" s="20"/>
      <c r="Q246" s="20"/>
      <c r="R246" s="20"/>
      <c r="S246" s="67"/>
      <c r="T246" s="67"/>
      <c r="U246" s="67"/>
      <c r="V246" s="8"/>
      <c r="W246" s="8"/>
      <c r="X246" s="8"/>
      <c r="Y246" s="8"/>
      <c r="Z246" s="8"/>
      <c r="AA246" s="8"/>
      <c r="AB246" s="8"/>
      <c r="AC246" s="8"/>
      <c r="AD246" s="8"/>
      <c r="AE246" s="8"/>
      <c r="AF246" s="8"/>
      <c r="AG246" s="8"/>
      <c r="AH246" s="8"/>
      <c r="AI246" s="8"/>
      <c r="AJ246" s="8"/>
      <c r="AK246" s="8"/>
      <c r="AL246" s="8"/>
      <c r="AM246" s="8"/>
    </row>
    <row r="247" spans="1:39">
      <c r="A247" s="3"/>
      <c r="B247" s="20"/>
      <c r="C247" s="20"/>
      <c r="D247" s="20"/>
      <c r="E247" s="20"/>
      <c r="F247" s="308"/>
      <c r="G247" s="308"/>
      <c r="H247" s="308"/>
      <c r="I247" s="308"/>
      <c r="J247" s="308"/>
      <c r="K247" s="20"/>
      <c r="L247" s="20"/>
      <c r="M247" s="308"/>
      <c r="N247" s="20"/>
      <c r="O247" s="20"/>
      <c r="P247" s="20"/>
      <c r="Q247" s="20"/>
      <c r="R247" s="20"/>
      <c r="S247" s="67"/>
      <c r="T247" s="67"/>
      <c r="U247" s="67"/>
      <c r="V247" s="8"/>
      <c r="W247" s="8"/>
      <c r="X247" s="8"/>
      <c r="Y247" s="8"/>
      <c r="Z247" s="8"/>
      <c r="AA247" s="8"/>
      <c r="AB247" s="8"/>
      <c r="AC247" s="8"/>
      <c r="AD247" s="8"/>
      <c r="AE247" s="8"/>
      <c r="AF247" s="8"/>
      <c r="AG247" s="8"/>
      <c r="AH247" s="8"/>
      <c r="AI247" s="8"/>
      <c r="AJ247" s="8"/>
      <c r="AK247" s="8"/>
      <c r="AL247" s="8"/>
      <c r="AM247" s="8"/>
    </row>
    <row r="248" spans="1:39">
      <c r="A248" s="3"/>
      <c r="B248" s="20"/>
      <c r="C248" s="20"/>
      <c r="D248" s="20"/>
      <c r="E248" s="20"/>
      <c r="F248" s="308"/>
      <c r="G248" s="308"/>
      <c r="H248" s="308"/>
      <c r="I248" s="308"/>
      <c r="J248" s="308"/>
      <c r="K248" s="20"/>
      <c r="L248" s="20"/>
      <c r="M248" s="308"/>
      <c r="N248" s="20"/>
      <c r="O248" s="20"/>
      <c r="P248" s="20"/>
      <c r="Q248" s="20"/>
      <c r="R248" s="20"/>
      <c r="S248" s="67"/>
      <c r="T248" s="67"/>
      <c r="U248" s="67"/>
      <c r="V248" s="8"/>
      <c r="W248" s="8"/>
      <c r="X248" s="8"/>
      <c r="Y248" s="8"/>
      <c r="Z248" s="8"/>
      <c r="AA248" s="8"/>
      <c r="AB248" s="8"/>
      <c r="AC248" s="8"/>
      <c r="AD248" s="8"/>
      <c r="AE248" s="8"/>
      <c r="AF248" s="8"/>
      <c r="AG248" s="8"/>
      <c r="AH248" s="8"/>
      <c r="AI248" s="8"/>
      <c r="AJ248" s="8"/>
      <c r="AK248" s="8"/>
      <c r="AL248" s="8"/>
      <c r="AM248" s="8"/>
    </row>
    <row r="249" spans="1:39">
      <c r="A249" s="3"/>
      <c r="B249" s="20"/>
      <c r="C249" s="20"/>
      <c r="D249" s="20"/>
      <c r="E249" s="20"/>
      <c r="F249" s="308"/>
      <c r="G249" s="308"/>
      <c r="H249" s="308"/>
      <c r="I249" s="308"/>
      <c r="J249" s="308"/>
      <c r="K249" s="20"/>
      <c r="L249" s="20"/>
      <c r="M249" s="308"/>
      <c r="N249" s="20"/>
      <c r="O249" s="20"/>
      <c r="P249" s="20"/>
      <c r="Q249" s="20"/>
      <c r="R249" s="20"/>
      <c r="S249" s="67"/>
      <c r="T249" s="67"/>
      <c r="U249" s="67"/>
      <c r="V249" s="8"/>
      <c r="W249" s="8"/>
      <c r="X249" s="8"/>
      <c r="Y249" s="8"/>
      <c r="Z249" s="8"/>
      <c r="AA249" s="8"/>
      <c r="AB249" s="8"/>
      <c r="AC249" s="8"/>
      <c r="AD249" s="8"/>
      <c r="AE249" s="8"/>
      <c r="AF249" s="8"/>
      <c r="AG249" s="8"/>
      <c r="AH249" s="8"/>
      <c r="AI249" s="8"/>
      <c r="AJ249" s="8"/>
      <c r="AK249" s="8"/>
      <c r="AL249" s="8"/>
      <c r="AM249" s="8"/>
    </row>
    <row r="250" spans="1:39">
      <c r="A250" s="3"/>
      <c r="B250" s="20"/>
      <c r="C250" s="20"/>
      <c r="D250" s="20"/>
      <c r="E250" s="20"/>
      <c r="F250" s="308"/>
      <c r="G250" s="308"/>
      <c r="H250" s="308"/>
      <c r="I250" s="308"/>
      <c r="J250" s="308"/>
      <c r="K250" s="20"/>
      <c r="L250" s="20"/>
      <c r="M250" s="308"/>
      <c r="N250" s="20"/>
      <c r="O250" s="20"/>
      <c r="P250" s="20"/>
      <c r="Q250" s="20"/>
      <c r="R250" s="20"/>
      <c r="S250" s="67"/>
      <c r="T250" s="67"/>
      <c r="U250" s="67"/>
      <c r="V250" s="8"/>
      <c r="W250" s="8"/>
      <c r="X250" s="8"/>
      <c r="Y250" s="8"/>
      <c r="Z250" s="8"/>
      <c r="AA250" s="8"/>
      <c r="AB250" s="8"/>
      <c r="AC250" s="8"/>
      <c r="AD250" s="8"/>
      <c r="AE250" s="8"/>
      <c r="AF250" s="8"/>
      <c r="AG250" s="8"/>
      <c r="AH250" s="8"/>
      <c r="AI250" s="8"/>
      <c r="AJ250" s="8"/>
      <c r="AK250" s="8"/>
      <c r="AL250" s="8"/>
      <c r="AM250" s="8"/>
    </row>
    <row r="251" spans="1:39">
      <c r="A251" s="3"/>
      <c r="B251" s="20"/>
      <c r="C251" s="20"/>
      <c r="D251" s="20"/>
      <c r="E251" s="20"/>
      <c r="F251" s="308"/>
      <c r="G251" s="308"/>
      <c r="H251" s="308"/>
      <c r="I251" s="308"/>
      <c r="J251" s="308"/>
      <c r="K251" s="20"/>
      <c r="L251" s="20"/>
      <c r="M251" s="308"/>
      <c r="N251" s="20"/>
      <c r="O251" s="20"/>
      <c r="P251" s="20"/>
      <c r="Q251" s="20"/>
      <c r="R251" s="20"/>
      <c r="S251" s="67"/>
      <c r="T251" s="67"/>
      <c r="U251" s="67"/>
      <c r="V251" s="8"/>
      <c r="W251" s="8"/>
      <c r="X251" s="8"/>
      <c r="Y251" s="8"/>
      <c r="Z251" s="8"/>
      <c r="AA251" s="8"/>
      <c r="AB251" s="8"/>
      <c r="AC251" s="8"/>
      <c r="AD251" s="8"/>
      <c r="AE251" s="8"/>
      <c r="AF251" s="8"/>
      <c r="AG251" s="8"/>
      <c r="AH251" s="8"/>
      <c r="AI251" s="8"/>
      <c r="AJ251" s="8"/>
      <c r="AK251" s="8"/>
      <c r="AL251" s="8"/>
      <c r="AM251" s="8"/>
    </row>
    <row r="252" spans="1:39">
      <c r="A252" s="3"/>
      <c r="B252" s="20"/>
      <c r="C252" s="20"/>
      <c r="D252" s="20"/>
      <c r="E252" s="20"/>
      <c r="F252" s="308"/>
      <c r="G252" s="308"/>
      <c r="H252" s="308"/>
      <c r="I252" s="308"/>
      <c r="J252" s="308"/>
      <c r="K252" s="20"/>
      <c r="L252" s="20"/>
      <c r="M252" s="308"/>
      <c r="N252" s="20"/>
      <c r="O252" s="20"/>
      <c r="P252" s="20"/>
      <c r="Q252" s="20"/>
      <c r="R252" s="20"/>
      <c r="S252" s="67"/>
      <c r="T252" s="67"/>
      <c r="U252" s="67"/>
      <c r="V252" s="8"/>
      <c r="W252" s="8"/>
      <c r="X252" s="8"/>
      <c r="Y252" s="8"/>
      <c r="Z252" s="8"/>
      <c r="AA252" s="8"/>
      <c r="AB252" s="8"/>
      <c r="AC252" s="8"/>
      <c r="AD252" s="8"/>
      <c r="AE252" s="8"/>
      <c r="AF252" s="8"/>
      <c r="AG252" s="8"/>
      <c r="AH252" s="8"/>
      <c r="AI252" s="8"/>
      <c r="AJ252" s="8"/>
      <c r="AK252" s="8"/>
      <c r="AL252" s="8"/>
      <c r="AM252" s="8"/>
    </row>
    <row r="253" spans="1:39">
      <c r="A253" s="3"/>
      <c r="B253" s="20"/>
      <c r="C253" s="20"/>
      <c r="D253" s="20"/>
      <c r="E253" s="20"/>
      <c r="F253" s="308"/>
      <c r="G253" s="308"/>
      <c r="H253" s="308"/>
      <c r="I253" s="308"/>
      <c r="J253" s="308"/>
      <c r="K253" s="20"/>
      <c r="L253" s="20"/>
      <c r="M253" s="308"/>
      <c r="N253" s="20"/>
      <c r="O253" s="20"/>
      <c r="P253" s="20"/>
      <c r="Q253" s="20"/>
      <c r="R253" s="20"/>
      <c r="S253" s="67"/>
      <c r="T253" s="67"/>
      <c r="U253" s="67"/>
      <c r="V253" s="8"/>
      <c r="W253" s="8"/>
      <c r="X253" s="8"/>
      <c r="Y253" s="8"/>
      <c r="Z253" s="8"/>
      <c r="AA253" s="8"/>
      <c r="AB253" s="8"/>
      <c r="AC253" s="8"/>
      <c r="AD253" s="8"/>
      <c r="AE253" s="8"/>
      <c r="AF253" s="8"/>
      <c r="AG253" s="8"/>
      <c r="AH253" s="8"/>
      <c r="AI253" s="8"/>
      <c r="AJ253" s="8"/>
      <c r="AK253" s="8"/>
      <c r="AL253" s="8"/>
      <c r="AM253" s="8"/>
    </row>
    <row r="254" spans="1:39">
      <c r="A254" s="3"/>
      <c r="B254" s="20"/>
      <c r="C254" s="20"/>
      <c r="D254" s="20"/>
      <c r="E254" s="20"/>
      <c r="F254" s="308"/>
      <c r="G254" s="308"/>
      <c r="H254" s="308"/>
      <c r="I254" s="308"/>
      <c r="J254" s="308"/>
      <c r="K254" s="20"/>
      <c r="L254" s="20"/>
      <c r="M254" s="308"/>
      <c r="N254" s="20"/>
      <c r="O254" s="20"/>
      <c r="P254" s="20"/>
      <c r="Q254" s="20"/>
      <c r="R254" s="20"/>
      <c r="S254" s="67"/>
      <c r="T254" s="67"/>
      <c r="U254" s="67"/>
      <c r="V254" s="8"/>
      <c r="W254" s="8"/>
      <c r="X254" s="8"/>
      <c r="Y254" s="8"/>
      <c r="Z254" s="8"/>
      <c r="AA254" s="8"/>
      <c r="AB254" s="8"/>
      <c r="AC254" s="8"/>
      <c r="AD254" s="8"/>
      <c r="AE254" s="8"/>
      <c r="AF254" s="8"/>
      <c r="AG254" s="8"/>
      <c r="AH254" s="8"/>
      <c r="AI254" s="8"/>
      <c r="AJ254" s="8"/>
      <c r="AK254" s="8"/>
      <c r="AL254" s="8"/>
      <c r="AM254" s="8"/>
    </row>
    <row r="255" spans="1:39">
      <c r="A255" s="3"/>
      <c r="B255" s="20"/>
      <c r="C255" s="20"/>
      <c r="D255" s="20"/>
      <c r="E255" s="20"/>
      <c r="F255" s="308"/>
      <c r="G255" s="308"/>
      <c r="H255" s="308"/>
      <c r="I255" s="308"/>
      <c r="J255" s="308"/>
      <c r="K255" s="20"/>
      <c r="L255" s="20"/>
      <c r="M255" s="308"/>
      <c r="N255" s="20"/>
      <c r="O255" s="20"/>
      <c r="P255" s="20"/>
      <c r="Q255" s="20"/>
      <c r="R255" s="20"/>
      <c r="S255" s="67"/>
      <c r="T255" s="67"/>
      <c r="U255" s="67"/>
      <c r="V255" s="8"/>
      <c r="W255" s="8"/>
      <c r="X255" s="8"/>
      <c r="Y255" s="8"/>
      <c r="Z255" s="8"/>
      <c r="AA255" s="8"/>
      <c r="AB255" s="8"/>
      <c r="AC255" s="8"/>
      <c r="AD255" s="8"/>
      <c r="AE255" s="8"/>
      <c r="AF255" s="8"/>
      <c r="AG255" s="8"/>
      <c r="AH255" s="8"/>
      <c r="AI255" s="8"/>
      <c r="AJ255" s="8"/>
      <c r="AK255" s="8"/>
      <c r="AL255" s="8"/>
      <c r="AM255" s="8"/>
    </row>
    <row r="256" spans="1:39">
      <c r="A256" s="3"/>
      <c r="B256" s="20"/>
      <c r="C256" s="20"/>
      <c r="D256" s="20"/>
      <c r="E256" s="20"/>
      <c r="F256" s="308"/>
      <c r="G256" s="308"/>
      <c r="H256" s="308"/>
      <c r="I256" s="308"/>
      <c r="J256" s="308"/>
      <c r="K256" s="20"/>
      <c r="L256" s="20"/>
      <c r="M256" s="308"/>
      <c r="N256" s="20"/>
      <c r="O256" s="20"/>
      <c r="P256" s="20"/>
      <c r="Q256" s="20"/>
      <c r="R256" s="20"/>
      <c r="S256" s="67"/>
      <c r="T256" s="67"/>
      <c r="U256" s="67"/>
      <c r="V256" s="8"/>
      <c r="W256" s="8"/>
      <c r="X256" s="8"/>
      <c r="Y256" s="8"/>
      <c r="Z256" s="8"/>
      <c r="AA256" s="8"/>
      <c r="AB256" s="8"/>
      <c r="AC256" s="8"/>
      <c r="AD256" s="8"/>
      <c r="AE256" s="8"/>
      <c r="AF256" s="8"/>
      <c r="AG256" s="8"/>
      <c r="AH256" s="8"/>
      <c r="AI256" s="8"/>
      <c r="AJ256" s="8"/>
      <c r="AK256" s="8"/>
      <c r="AL256" s="8"/>
      <c r="AM256" s="8"/>
    </row>
    <row r="257" spans="1:39">
      <c r="A257" s="3"/>
      <c r="B257" s="20"/>
      <c r="C257" s="20"/>
      <c r="D257" s="20"/>
      <c r="E257" s="20"/>
      <c r="F257" s="308"/>
      <c r="G257" s="308"/>
      <c r="H257" s="308"/>
      <c r="I257" s="308"/>
      <c r="J257" s="308"/>
      <c r="K257" s="20"/>
      <c r="L257" s="20"/>
      <c r="M257" s="308"/>
      <c r="N257" s="20"/>
      <c r="O257" s="20"/>
      <c r="P257" s="20"/>
      <c r="Q257" s="20"/>
      <c r="R257" s="20"/>
      <c r="S257" s="67"/>
      <c r="T257" s="67"/>
      <c r="U257" s="67"/>
      <c r="V257" s="8"/>
      <c r="W257" s="8"/>
      <c r="X257" s="8"/>
      <c r="Y257" s="8"/>
      <c r="Z257" s="8"/>
      <c r="AA257" s="8"/>
      <c r="AB257" s="8"/>
      <c r="AC257" s="8"/>
      <c r="AD257" s="8"/>
      <c r="AE257" s="8"/>
      <c r="AF257" s="8"/>
      <c r="AG257" s="8"/>
      <c r="AH257" s="8"/>
      <c r="AI257" s="8"/>
      <c r="AJ257" s="8"/>
      <c r="AK257" s="8"/>
      <c r="AL257" s="8"/>
      <c r="AM257" s="8"/>
    </row>
    <row r="258" spans="1:39">
      <c r="A258" s="3"/>
      <c r="B258" s="20"/>
      <c r="C258" s="20"/>
      <c r="D258" s="20"/>
      <c r="E258" s="20"/>
      <c r="F258" s="308"/>
      <c r="G258" s="308"/>
      <c r="H258" s="308"/>
      <c r="I258" s="308"/>
      <c r="J258" s="308"/>
      <c r="K258" s="20"/>
      <c r="L258" s="20"/>
      <c r="M258" s="308"/>
      <c r="N258" s="20"/>
      <c r="O258" s="20"/>
      <c r="P258" s="20"/>
      <c r="Q258" s="20"/>
      <c r="R258" s="20"/>
      <c r="S258" s="67"/>
      <c r="T258" s="67"/>
      <c r="U258" s="67"/>
      <c r="V258" s="8"/>
      <c r="W258" s="8"/>
      <c r="X258" s="8"/>
      <c r="Y258" s="8"/>
      <c r="Z258" s="8"/>
      <c r="AA258" s="8"/>
      <c r="AB258" s="8"/>
      <c r="AC258" s="8"/>
      <c r="AD258" s="8"/>
      <c r="AE258" s="8"/>
      <c r="AF258" s="8"/>
      <c r="AG258" s="8"/>
      <c r="AH258" s="8"/>
      <c r="AI258" s="8"/>
      <c r="AJ258" s="8"/>
      <c r="AK258" s="8"/>
      <c r="AL258" s="8"/>
      <c r="AM258" s="8"/>
    </row>
    <row r="259" spans="1:39">
      <c r="A259" s="3"/>
      <c r="B259" s="20"/>
      <c r="C259" s="20"/>
      <c r="D259" s="20"/>
      <c r="E259" s="20"/>
      <c r="F259" s="308"/>
      <c r="G259" s="308"/>
      <c r="H259" s="308"/>
      <c r="I259" s="308"/>
      <c r="J259" s="308"/>
      <c r="K259" s="20"/>
      <c r="L259" s="20"/>
      <c r="M259" s="308"/>
      <c r="N259" s="20"/>
      <c r="O259" s="20"/>
      <c r="P259" s="20"/>
      <c r="Q259" s="20"/>
      <c r="R259" s="20"/>
      <c r="S259" s="67"/>
      <c r="T259" s="67"/>
      <c r="U259" s="67"/>
      <c r="V259" s="8"/>
      <c r="W259" s="8"/>
      <c r="X259" s="8"/>
      <c r="Y259" s="8"/>
      <c r="Z259" s="8"/>
      <c r="AA259" s="8"/>
      <c r="AB259" s="8"/>
      <c r="AC259" s="8"/>
      <c r="AD259" s="8"/>
      <c r="AE259" s="8"/>
      <c r="AF259" s="8"/>
      <c r="AG259" s="8"/>
      <c r="AH259" s="8"/>
      <c r="AI259" s="8"/>
      <c r="AJ259" s="8"/>
      <c r="AK259" s="8"/>
      <c r="AL259" s="8"/>
      <c r="AM259" s="8"/>
    </row>
    <row r="260" spans="1:39">
      <c r="A260" s="3"/>
      <c r="B260" s="20"/>
      <c r="C260" s="20"/>
      <c r="D260" s="20"/>
      <c r="E260" s="20"/>
      <c r="F260" s="308"/>
      <c r="G260" s="308"/>
      <c r="H260" s="308"/>
      <c r="I260" s="308"/>
      <c r="J260" s="308"/>
      <c r="K260" s="20"/>
      <c r="L260" s="20"/>
      <c r="M260" s="308"/>
      <c r="N260" s="20"/>
      <c r="O260" s="20"/>
      <c r="P260" s="20"/>
      <c r="Q260" s="20"/>
      <c r="R260" s="20"/>
      <c r="S260" s="67"/>
      <c r="T260" s="67"/>
      <c r="U260" s="67"/>
      <c r="V260" s="8"/>
      <c r="W260" s="8"/>
      <c r="X260" s="8"/>
      <c r="Y260" s="8"/>
      <c r="Z260" s="8"/>
      <c r="AA260" s="8"/>
      <c r="AB260" s="8"/>
      <c r="AC260" s="8"/>
      <c r="AD260" s="8"/>
      <c r="AE260" s="8"/>
      <c r="AF260" s="8"/>
      <c r="AG260" s="8"/>
      <c r="AH260" s="8"/>
      <c r="AI260" s="8"/>
      <c r="AJ260" s="8"/>
      <c r="AK260" s="8"/>
      <c r="AL260" s="8"/>
      <c r="AM260" s="8"/>
    </row>
    <row r="261" spans="1:39">
      <c r="A261" s="3"/>
      <c r="B261" s="20"/>
      <c r="C261" s="20"/>
      <c r="D261" s="20"/>
      <c r="E261" s="20"/>
      <c r="F261" s="308"/>
      <c r="G261" s="308"/>
      <c r="H261" s="308"/>
      <c r="I261" s="308"/>
      <c r="J261" s="308"/>
      <c r="K261" s="20"/>
      <c r="L261" s="20"/>
      <c r="M261" s="308"/>
      <c r="N261" s="20"/>
      <c r="O261" s="20"/>
      <c r="P261" s="20"/>
      <c r="Q261" s="20"/>
      <c r="R261" s="20"/>
      <c r="S261" s="67"/>
      <c r="T261" s="67"/>
      <c r="U261" s="67"/>
      <c r="V261" s="8"/>
      <c r="W261" s="8"/>
      <c r="X261" s="8"/>
      <c r="Y261" s="8"/>
      <c r="Z261" s="8"/>
      <c r="AA261" s="8"/>
      <c r="AB261" s="8"/>
      <c r="AC261" s="8"/>
      <c r="AD261" s="8"/>
      <c r="AE261" s="8"/>
      <c r="AF261" s="8"/>
      <c r="AG261" s="8"/>
      <c r="AH261" s="8"/>
      <c r="AI261" s="8"/>
      <c r="AJ261" s="8"/>
      <c r="AK261" s="8"/>
      <c r="AL261" s="8"/>
      <c r="AM261" s="8"/>
    </row>
    <row r="262" spans="1:39">
      <c r="A262" s="3"/>
      <c r="B262" s="20"/>
      <c r="C262" s="20"/>
      <c r="D262" s="20"/>
      <c r="E262" s="20"/>
      <c r="F262" s="308"/>
      <c r="G262" s="308"/>
      <c r="H262" s="308"/>
      <c r="I262" s="308"/>
      <c r="J262" s="308"/>
      <c r="K262" s="20"/>
      <c r="L262" s="20"/>
      <c r="M262" s="308"/>
      <c r="N262" s="20"/>
      <c r="O262" s="20"/>
      <c r="P262" s="20"/>
      <c r="Q262" s="20"/>
      <c r="R262" s="20"/>
      <c r="S262" s="67"/>
      <c r="T262" s="67"/>
      <c r="U262" s="67"/>
      <c r="V262" s="8"/>
      <c r="W262" s="8"/>
      <c r="X262" s="8"/>
      <c r="Y262" s="8"/>
      <c r="Z262" s="8"/>
      <c r="AA262" s="8"/>
      <c r="AB262" s="8"/>
      <c r="AC262" s="8"/>
      <c r="AD262" s="8"/>
      <c r="AE262" s="8"/>
      <c r="AF262" s="8"/>
      <c r="AG262" s="8"/>
      <c r="AH262" s="8"/>
      <c r="AI262" s="8"/>
      <c r="AJ262" s="8"/>
      <c r="AK262" s="8"/>
      <c r="AL262" s="8"/>
      <c r="AM262" s="8"/>
    </row>
    <row r="263" spans="1:39">
      <c r="A263" s="3"/>
      <c r="B263" s="20"/>
      <c r="C263" s="20"/>
      <c r="D263" s="20"/>
      <c r="E263" s="20"/>
      <c r="F263" s="308"/>
      <c r="G263" s="308"/>
      <c r="H263" s="308"/>
      <c r="I263" s="308"/>
      <c r="J263" s="308"/>
      <c r="K263" s="20"/>
      <c r="L263" s="20"/>
      <c r="M263" s="308"/>
      <c r="N263" s="20"/>
      <c r="O263" s="20"/>
      <c r="P263" s="20"/>
      <c r="Q263" s="20"/>
      <c r="R263" s="20"/>
      <c r="S263" s="67"/>
      <c r="T263" s="67"/>
      <c r="U263" s="67"/>
      <c r="V263" s="8"/>
      <c r="W263" s="8"/>
      <c r="X263" s="8"/>
      <c r="Y263" s="8"/>
      <c r="Z263" s="8"/>
      <c r="AA263" s="8"/>
      <c r="AB263" s="8"/>
      <c r="AC263" s="8"/>
      <c r="AD263" s="8"/>
      <c r="AE263" s="8"/>
      <c r="AF263" s="8"/>
      <c r="AG263" s="8"/>
      <c r="AH263" s="8"/>
      <c r="AI263" s="8"/>
      <c r="AJ263" s="8"/>
      <c r="AK263" s="8"/>
      <c r="AL263" s="8"/>
      <c r="AM263" s="8"/>
    </row>
    <row r="264" spans="1:39">
      <c r="A264" s="3"/>
      <c r="B264" s="20"/>
      <c r="C264" s="20"/>
      <c r="D264" s="20"/>
      <c r="E264" s="20"/>
      <c r="F264" s="308"/>
      <c r="G264" s="308"/>
      <c r="H264" s="308"/>
      <c r="I264" s="308"/>
      <c r="J264" s="308"/>
      <c r="K264" s="20"/>
      <c r="L264" s="20"/>
      <c r="M264" s="308"/>
      <c r="N264" s="20"/>
      <c r="O264" s="20"/>
      <c r="P264" s="20"/>
      <c r="Q264" s="20"/>
      <c r="R264" s="20"/>
      <c r="S264" s="67"/>
      <c r="T264" s="67"/>
      <c r="U264" s="67"/>
      <c r="V264" s="8"/>
      <c r="W264" s="8"/>
      <c r="X264" s="8"/>
      <c r="Y264" s="8"/>
      <c r="Z264" s="8"/>
      <c r="AA264" s="8"/>
      <c r="AB264" s="8"/>
      <c r="AC264" s="8"/>
      <c r="AD264" s="8"/>
      <c r="AE264" s="8"/>
      <c r="AF264" s="8"/>
      <c r="AG264" s="8"/>
      <c r="AH264" s="8"/>
      <c r="AI264" s="8"/>
      <c r="AJ264" s="8"/>
      <c r="AK264" s="8"/>
      <c r="AL264" s="8"/>
      <c r="AM264" s="8"/>
    </row>
    <row r="265" spans="1:39">
      <c r="A265" s="3"/>
      <c r="B265" s="20"/>
      <c r="C265" s="20"/>
      <c r="D265" s="20"/>
      <c r="E265" s="20"/>
      <c r="F265" s="308"/>
      <c r="G265" s="308"/>
      <c r="H265" s="308"/>
      <c r="I265" s="308"/>
      <c r="J265" s="308"/>
      <c r="K265" s="20"/>
      <c r="L265" s="20"/>
      <c r="M265" s="308"/>
      <c r="N265" s="20"/>
      <c r="O265" s="20"/>
      <c r="P265" s="20"/>
      <c r="Q265" s="20"/>
      <c r="R265" s="20"/>
      <c r="S265" s="67"/>
      <c r="T265" s="67"/>
      <c r="U265" s="67"/>
      <c r="V265" s="8"/>
      <c r="W265" s="8"/>
      <c r="X265" s="8"/>
      <c r="Y265" s="8"/>
      <c r="Z265" s="8"/>
      <c r="AA265" s="8"/>
      <c r="AB265" s="8"/>
      <c r="AC265" s="8"/>
      <c r="AD265" s="8"/>
      <c r="AE265" s="8"/>
      <c r="AF265" s="8"/>
      <c r="AG265" s="8"/>
      <c r="AH265" s="8"/>
      <c r="AI265" s="8"/>
      <c r="AJ265" s="8"/>
      <c r="AK265" s="8"/>
      <c r="AL265" s="8"/>
      <c r="AM265" s="8"/>
    </row>
    <row r="266" spans="1:39">
      <c r="A266" s="3"/>
      <c r="B266" s="20"/>
      <c r="C266" s="20"/>
      <c r="D266" s="20"/>
      <c r="E266" s="20"/>
      <c r="F266" s="308"/>
      <c r="G266" s="308"/>
      <c r="H266" s="308"/>
      <c r="I266" s="308"/>
      <c r="J266" s="308"/>
      <c r="K266" s="20"/>
      <c r="L266" s="20"/>
      <c r="M266" s="308"/>
      <c r="N266" s="20"/>
      <c r="O266" s="20"/>
      <c r="P266" s="20"/>
      <c r="Q266" s="20"/>
      <c r="R266" s="20"/>
      <c r="S266" s="67"/>
      <c r="T266" s="67"/>
      <c r="U266" s="67"/>
      <c r="V266" s="8"/>
      <c r="W266" s="8"/>
      <c r="X266" s="8"/>
      <c r="Y266" s="8"/>
      <c r="Z266" s="8"/>
      <c r="AA266" s="8"/>
      <c r="AB266" s="8"/>
      <c r="AC266" s="8"/>
      <c r="AD266" s="8"/>
      <c r="AE266" s="8"/>
      <c r="AF266" s="8"/>
      <c r="AG266" s="8"/>
      <c r="AH266" s="8"/>
      <c r="AI266" s="8"/>
      <c r="AJ266" s="8"/>
      <c r="AK266" s="8"/>
      <c r="AL266" s="8"/>
      <c r="AM266" s="8"/>
    </row>
    <row r="267" spans="1:39">
      <c r="A267" s="3"/>
      <c r="B267" s="20"/>
      <c r="C267" s="20"/>
      <c r="D267" s="20"/>
      <c r="E267" s="20"/>
      <c r="F267" s="308"/>
      <c r="G267" s="308"/>
      <c r="H267" s="308"/>
      <c r="I267" s="308"/>
      <c r="J267" s="308"/>
      <c r="K267" s="20"/>
      <c r="L267" s="20"/>
      <c r="M267" s="308"/>
      <c r="N267" s="20"/>
      <c r="O267" s="20"/>
      <c r="P267" s="20"/>
      <c r="Q267" s="20"/>
      <c r="R267" s="20"/>
      <c r="S267" s="67"/>
      <c r="T267" s="67"/>
      <c r="U267" s="67"/>
      <c r="V267" s="8"/>
      <c r="W267" s="8"/>
      <c r="X267" s="8"/>
      <c r="Y267" s="8"/>
      <c r="Z267" s="8"/>
      <c r="AA267" s="8"/>
      <c r="AB267" s="8"/>
      <c r="AC267" s="8"/>
      <c r="AD267" s="8"/>
      <c r="AE267" s="8"/>
      <c r="AF267" s="8"/>
      <c r="AG267" s="8"/>
      <c r="AH267" s="8"/>
      <c r="AI267" s="8"/>
      <c r="AJ267" s="8"/>
      <c r="AK267" s="8"/>
      <c r="AL267" s="8"/>
      <c r="AM267" s="8"/>
    </row>
    <row r="268" spans="1:39">
      <c r="A268" s="3"/>
      <c r="B268" s="20"/>
      <c r="C268" s="20"/>
      <c r="D268" s="20"/>
      <c r="E268" s="20"/>
      <c r="F268" s="308"/>
      <c r="G268" s="308"/>
      <c r="H268" s="308"/>
      <c r="I268" s="308"/>
      <c r="J268" s="308"/>
      <c r="K268" s="20"/>
      <c r="L268" s="20"/>
      <c r="M268" s="308"/>
      <c r="N268" s="20"/>
      <c r="O268" s="20"/>
      <c r="P268" s="20"/>
      <c r="Q268" s="20"/>
      <c r="R268" s="20"/>
      <c r="S268" s="67"/>
      <c r="T268" s="67"/>
      <c r="U268" s="67"/>
      <c r="V268" s="8"/>
      <c r="W268" s="8"/>
      <c r="X268" s="8"/>
      <c r="Y268" s="8"/>
      <c r="Z268" s="8"/>
      <c r="AA268" s="8"/>
      <c r="AB268" s="8"/>
      <c r="AC268" s="8"/>
      <c r="AD268" s="8"/>
      <c r="AE268" s="8"/>
      <c r="AF268" s="8"/>
      <c r="AG268" s="8"/>
      <c r="AH268" s="8"/>
      <c r="AI268" s="8"/>
      <c r="AJ268" s="8"/>
      <c r="AK268" s="8"/>
      <c r="AL268" s="8"/>
      <c r="AM268" s="8"/>
    </row>
    <row r="269" spans="1:39">
      <c r="A269" s="3"/>
      <c r="B269" s="20"/>
      <c r="C269" s="20"/>
      <c r="D269" s="20"/>
      <c r="E269" s="20"/>
      <c r="F269" s="308"/>
      <c r="G269" s="308"/>
      <c r="H269" s="308"/>
      <c r="I269" s="308"/>
      <c r="J269" s="308"/>
      <c r="K269" s="20"/>
      <c r="L269" s="20"/>
      <c r="M269" s="308"/>
      <c r="N269" s="20"/>
      <c r="O269" s="20"/>
      <c r="P269" s="20"/>
      <c r="Q269" s="20"/>
      <c r="R269" s="20"/>
      <c r="S269" s="67"/>
      <c r="T269" s="67"/>
      <c r="U269" s="67"/>
      <c r="V269" s="8"/>
      <c r="W269" s="8"/>
      <c r="X269" s="8"/>
      <c r="Y269" s="8"/>
      <c r="Z269" s="8"/>
      <c r="AA269" s="8"/>
      <c r="AB269" s="8"/>
      <c r="AC269" s="8"/>
      <c r="AD269" s="8"/>
      <c r="AE269" s="8"/>
      <c r="AF269" s="8"/>
      <c r="AG269" s="8"/>
      <c r="AH269" s="8"/>
      <c r="AI269" s="8"/>
      <c r="AJ269" s="8"/>
      <c r="AK269" s="8"/>
      <c r="AL269" s="8"/>
      <c r="AM269" s="8"/>
    </row>
    <row r="270" spans="1:39" ht="15.75" customHeight="1">
      <c r="P270" s="20"/>
      <c r="Q270" s="20"/>
      <c r="R270" s="20"/>
    </row>
    <row r="271" spans="1:39" ht="15.75" customHeight="1">
      <c r="P271" s="2"/>
    </row>
    <row r="272" spans="1:39" ht="15.75" customHeight="1">
      <c r="P272" s="2"/>
    </row>
    <row r="273" spans="16:16" ht="15.75" customHeight="1">
      <c r="P273" s="2"/>
    </row>
    <row r="274" spans="16:16" ht="15.75" customHeight="1">
      <c r="P274" s="2"/>
    </row>
    <row r="275" spans="16:16" ht="15.75" customHeight="1">
      <c r="P275" s="2"/>
    </row>
    <row r="276" spans="16:16" ht="15.75" customHeight="1">
      <c r="P276" s="2"/>
    </row>
    <row r="277" spans="16:16" ht="15.75" customHeight="1">
      <c r="P277" s="2"/>
    </row>
    <row r="278" spans="16:16" ht="15.75" customHeight="1">
      <c r="P278" s="2"/>
    </row>
    <row r="279" spans="16:16" ht="15.75" customHeight="1">
      <c r="P279" s="2"/>
    </row>
    <row r="280" spans="16:16" ht="15.75" customHeight="1">
      <c r="P280" s="2"/>
    </row>
    <row r="281" spans="16:16" ht="15.75" customHeight="1">
      <c r="P281" s="2"/>
    </row>
    <row r="282" spans="16:16" ht="15.75" customHeight="1">
      <c r="P282" s="2"/>
    </row>
    <row r="283" spans="16:16" ht="15.75" customHeight="1">
      <c r="P283" s="2"/>
    </row>
    <row r="284" spans="16:16" ht="15.75" customHeight="1">
      <c r="P284" s="2"/>
    </row>
    <row r="285" spans="16:16" ht="15.75" customHeight="1">
      <c r="P285" s="2"/>
    </row>
    <row r="286" spans="16:16" ht="15.75" customHeight="1">
      <c r="P286" s="2"/>
    </row>
    <row r="287" spans="16:16" ht="15.75" customHeight="1">
      <c r="P287" s="2"/>
    </row>
    <row r="288" spans="16:16" ht="15.75" customHeight="1">
      <c r="P288" s="2"/>
    </row>
    <row r="289" spans="16:16" ht="15.75" customHeight="1">
      <c r="P289" s="2"/>
    </row>
    <row r="290" spans="16:16" ht="15.75" customHeight="1">
      <c r="P290" s="2"/>
    </row>
    <row r="291" spans="16:16" ht="15.75" customHeight="1">
      <c r="P291" s="2"/>
    </row>
    <row r="292" spans="16:16" ht="15.75" customHeight="1">
      <c r="P292" s="2"/>
    </row>
    <row r="293" spans="16:16" ht="15.75" customHeight="1">
      <c r="P293" s="2"/>
    </row>
    <row r="294" spans="16:16" ht="15.75" customHeight="1">
      <c r="P294" s="2"/>
    </row>
    <row r="295" spans="16:16" ht="15.75" customHeight="1">
      <c r="P295" s="2"/>
    </row>
    <row r="296" spans="16:16" ht="15.75" customHeight="1">
      <c r="P296" s="2"/>
    </row>
    <row r="297" spans="16:16" ht="15.75" customHeight="1">
      <c r="P297" s="2"/>
    </row>
    <row r="298" spans="16:16" ht="15.75" customHeight="1">
      <c r="P298" s="2"/>
    </row>
    <row r="299" spans="16:16" ht="15.75" customHeight="1">
      <c r="P299" s="2"/>
    </row>
    <row r="300" spans="16:16" ht="15.75" customHeight="1">
      <c r="P300" s="2"/>
    </row>
    <row r="301" spans="16:16" ht="15.75" customHeight="1">
      <c r="P301" s="2"/>
    </row>
    <row r="302" spans="16:16" ht="15.75" customHeight="1">
      <c r="P302" s="2"/>
    </row>
    <row r="303" spans="16:16" ht="15.75" customHeight="1">
      <c r="P303" s="2"/>
    </row>
    <row r="304" spans="16:16" ht="15.75" customHeight="1">
      <c r="P304" s="2"/>
    </row>
    <row r="305" spans="16:16" ht="15.75" customHeight="1">
      <c r="P305" s="2"/>
    </row>
    <row r="306" spans="16:16" ht="15.75" customHeight="1">
      <c r="P306" s="2"/>
    </row>
    <row r="307" spans="16:16" ht="15.75" customHeight="1">
      <c r="P307" s="2"/>
    </row>
    <row r="308" spans="16:16" ht="15.75" customHeight="1">
      <c r="P308" s="2"/>
    </row>
    <row r="309" spans="16:16" ht="15.75" customHeight="1">
      <c r="P309" s="2"/>
    </row>
    <row r="310" spans="16:16" ht="15.75" customHeight="1">
      <c r="P310" s="2"/>
    </row>
    <row r="311" spans="16:16" ht="15.75" customHeight="1">
      <c r="P311" s="2"/>
    </row>
    <row r="312" spans="16:16" ht="15.75" customHeight="1">
      <c r="P312" s="2"/>
    </row>
    <row r="313" spans="16:16" ht="15.75" customHeight="1">
      <c r="P313" s="2"/>
    </row>
    <row r="314" spans="16:16" ht="15.75" customHeight="1">
      <c r="P314" s="2"/>
    </row>
    <row r="315" spans="16:16" ht="15.75" customHeight="1">
      <c r="P315" s="2"/>
    </row>
    <row r="316" spans="16:16" ht="15.75" customHeight="1">
      <c r="P316" s="2"/>
    </row>
    <row r="317" spans="16:16" ht="15.75" customHeight="1">
      <c r="P317" s="2"/>
    </row>
    <row r="318" spans="16:16" ht="15.75" customHeight="1">
      <c r="P318" s="2"/>
    </row>
    <row r="319" spans="16:16" ht="15.75" customHeight="1">
      <c r="P319" s="2"/>
    </row>
    <row r="320" spans="16:16" ht="15.75" customHeight="1">
      <c r="P320" s="2"/>
    </row>
    <row r="321" spans="16:16" ht="15.75" customHeight="1">
      <c r="P321" s="2"/>
    </row>
    <row r="322" spans="16:16" ht="15.75" customHeight="1">
      <c r="P322" s="2"/>
    </row>
    <row r="323" spans="16:16" ht="15.75" customHeight="1">
      <c r="P323" s="2"/>
    </row>
    <row r="324" spans="16:16" ht="15.75" customHeight="1">
      <c r="P324" s="2"/>
    </row>
    <row r="325" spans="16:16" ht="15.75" customHeight="1">
      <c r="P325" s="2"/>
    </row>
    <row r="326" spans="16:16" ht="15.75" customHeight="1">
      <c r="P326" s="2"/>
    </row>
    <row r="327" spans="16:16" ht="15.75" customHeight="1">
      <c r="P327" s="2"/>
    </row>
    <row r="328" spans="16:16" ht="15.75" customHeight="1">
      <c r="P328" s="2"/>
    </row>
    <row r="329" spans="16:16" ht="15.75" customHeight="1">
      <c r="P329" s="2"/>
    </row>
    <row r="330" spans="16:16" ht="15.75" customHeight="1">
      <c r="P330" s="2"/>
    </row>
    <row r="331" spans="16:16" ht="15.75" customHeight="1">
      <c r="P331" s="2"/>
    </row>
    <row r="332" spans="16:16" ht="15.75" customHeight="1">
      <c r="P332" s="2"/>
    </row>
    <row r="333" spans="16:16" ht="15.75" customHeight="1">
      <c r="P333" s="2"/>
    </row>
    <row r="334" spans="16:16" ht="15.75" customHeight="1">
      <c r="P334" s="2"/>
    </row>
    <row r="335" spans="16:16" ht="15.75" customHeight="1">
      <c r="P335" s="2"/>
    </row>
    <row r="336" spans="16:16" ht="15.75" customHeight="1">
      <c r="P336" s="2"/>
    </row>
    <row r="337" spans="16:16" ht="15.75" customHeight="1">
      <c r="P337" s="2"/>
    </row>
    <row r="338" spans="16:16" ht="15.75" customHeight="1">
      <c r="P338" s="2"/>
    </row>
    <row r="339" spans="16:16" ht="15.75" customHeight="1">
      <c r="P339" s="2"/>
    </row>
    <row r="340" spans="16:16" ht="15.75" customHeight="1">
      <c r="P340" s="2"/>
    </row>
    <row r="341" spans="16:16" ht="15.75" customHeight="1">
      <c r="P341" s="2"/>
    </row>
    <row r="342" spans="16:16" ht="15.75" customHeight="1">
      <c r="P342" s="2"/>
    </row>
    <row r="343" spans="16:16" ht="15.75" customHeight="1">
      <c r="P343" s="2"/>
    </row>
    <row r="344" spans="16:16" ht="15.75" customHeight="1">
      <c r="P344" s="2"/>
    </row>
    <row r="345" spans="16:16" ht="15.75" customHeight="1">
      <c r="P345" s="2"/>
    </row>
    <row r="346" spans="16:16" ht="15.75" customHeight="1">
      <c r="P346" s="2"/>
    </row>
    <row r="347" spans="16:16" ht="15.75" customHeight="1">
      <c r="P347" s="2"/>
    </row>
    <row r="348" spans="16:16" ht="15.75" customHeight="1">
      <c r="P348" s="2"/>
    </row>
    <row r="349" spans="16:16" ht="15.75" customHeight="1">
      <c r="P349" s="2"/>
    </row>
    <row r="350" spans="16:16" ht="15.75" customHeight="1">
      <c r="P350" s="2"/>
    </row>
    <row r="351" spans="16:16" ht="15.75" customHeight="1">
      <c r="P351" s="2"/>
    </row>
    <row r="352" spans="16:16" ht="15.75" customHeight="1">
      <c r="P352" s="2"/>
    </row>
    <row r="353" spans="16:16" ht="15.75" customHeight="1">
      <c r="P353" s="2"/>
    </row>
    <row r="354" spans="16:16" ht="15.75" customHeight="1">
      <c r="P354" s="2"/>
    </row>
    <row r="355" spans="16:16" ht="15.75" customHeight="1">
      <c r="P355" s="2"/>
    </row>
    <row r="356" spans="16:16" ht="15.75" customHeight="1">
      <c r="P356" s="2"/>
    </row>
    <row r="357" spans="16:16" ht="15.75" customHeight="1">
      <c r="P357" s="2"/>
    </row>
    <row r="358" spans="16:16" ht="15.75" customHeight="1">
      <c r="P358" s="2"/>
    </row>
    <row r="359" spans="16:16" ht="15.75" customHeight="1">
      <c r="P359" s="2"/>
    </row>
    <row r="360" spans="16:16" ht="15.75" customHeight="1">
      <c r="P360" s="2"/>
    </row>
    <row r="361" spans="16:16" ht="15.75" customHeight="1">
      <c r="P361" s="2"/>
    </row>
    <row r="362" spans="16:16" ht="15.75" customHeight="1">
      <c r="P362" s="2"/>
    </row>
    <row r="363" spans="16:16" ht="15.75" customHeight="1">
      <c r="P363" s="2"/>
    </row>
    <row r="364" spans="16:16" ht="15.75" customHeight="1">
      <c r="P364" s="2"/>
    </row>
    <row r="365" spans="16:16" ht="15.75" customHeight="1">
      <c r="P365" s="2"/>
    </row>
    <row r="366" spans="16:16" ht="15.75" customHeight="1">
      <c r="P366" s="2"/>
    </row>
    <row r="367" spans="16:16" ht="15.75" customHeight="1">
      <c r="P367" s="2"/>
    </row>
    <row r="368" spans="16:16" ht="15.75" customHeight="1">
      <c r="P368" s="2"/>
    </row>
    <row r="369" spans="16:16" ht="15.75" customHeight="1">
      <c r="P369" s="2"/>
    </row>
    <row r="370" spans="16:16" ht="15.75" customHeight="1">
      <c r="P370" s="2"/>
    </row>
    <row r="371" spans="16:16" ht="15.75" customHeight="1">
      <c r="P371" s="2"/>
    </row>
    <row r="372" spans="16:16" ht="15.75" customHeight="1">
      <c r="P372" s="2"/>
    </row>
    <row r="373" spans="16:16" ht="15.75" customHeight="1">
      <c r="P373" s="2"/>
    </row>
    <row r="374" spans="16:16" ht="15.75" customHeight="1">
      <c r="P374" s="2"/>
    </row>
    <row r="375" spans="16:16" ht="15.75" customHeight="1">
      <c r="P375" s="2"/>
    </row>
    <row r="376" spans="16:16" ht="15.75" customHeight="1">
      <c r="P376" s="2"/>
    </row>
    <row r="377" spans="16:16" ht="15.75" customHeight="1">
      <c r="P377" s="2"/>
    </row>
    <row r="378" spans="16:16" ht="15.75" customHeight="1">
      <c r="P378" s="2"/>
    </row>
    <row r="379" spans="16:16" ht="15.75" customHeight="1">
      <c r="P379" s="2"/>
    </row>
    <row r="380" spans="16:16" ht="15.75" customHeight="1">
      <c r="P380" s="2"/>
    </row>
    <row r="381" spans="16:16" ht="15.75" customHeight="1">
      <c r="P381" s="2"/>
    </row>
    <row r="382" spans="16:16" ht="15.75" customHeight="1">
      <c r="P382" s="2"/>
    </row>
    <row r="383" spans="16:16" ht="15.75" customHeight="1">
      <c r="P383" s="2"/>
    </row>
    <row r="384" spans="16:16" ht="15.75" customHeight="1">
      <c r="P384" s="2"/>
    </row>
    <row r="385" spans="16:16" ht="15.75" customHeight="1">
      <c r="P385" s="2"/>
    </row>
    <row r="386" spans="16:16" ht="15.75" customHeight="1">
      <c r="P386" s="2"/>
    </row>
    <row r="387" spans="16:16" ht="15.75" customHeight="1">
      <c r="P387" s="2"/>
    </row>
    <row r="388" spans="16:16" ht="15.75" customHeight="1">
      <c r="P388" s="2"/>
    </row>
    <row r="389" spans="16:16" ht="15.75" customHeight="1">
      <c r="P389" s="2"/>
    </row>
    <row r="390" spans="16:16" ht="15.75" customHeight="1">
      <c r="P390" s="2"/>
    </row>
    <row r="391" spans="16:16" ht="15.75" customHeight="1">
      <c r="P391" s="2"/>
    </row>
    <row r="392" spans="16:16" ht="15.75" customHeight="1">
      <c r="P392" s="2"/>
    </row>
    <row r="393" spans="16:16" ht="15.75" customHeight="1">
      <c r="P393" s="2"/>
    </row>
    <row r="394" spans="16:16" ht="15.75" customHeight="1">
      <c r="P394" s="2"/>
    </row>
    <row r="395" spans="16:16" ht="15.75" customHeight="1">
      <c r="P395" s="2"/>
    </row>
    <row r="396" spans="16:16" ht="15.75" customHeight="1">
      <c r="P396" s="2"/>
    </row>
    <row r="397" spans="16:16" ht="15.75" customHeight="1">
      <c r="P397" s="2"/>
    </row>
    <row r="398" spans="16:16" ht="15.75" customHeight="1">
      <c r="P398" s="2"/>
    </row>
    <row r="399" spans="16:16" ht="15.75" customHeight="1">
      <c r="P399" s="2"/>
    </row>
    <row r="400" spans="16:16" ht="15.75" customHeight="1">
      <c r="P400" s="2"/>
    </row>
    <row r="401" spans="16:16" ht="15.75" customHeight="1">
      <c r="P401" s="2"/>
    </row>
    <row r="402" spans="16:16" ht="15.75" customHeight="1">
      <c r="P402" s="2"/>
    </row>
    <row r="403" spans="16:16" ht="15.75" customHeight="1">
      <c r="P403" s="2"/>
    </row>
    <row r="404" spans="16:16" ht="15.75" customHeight="1">
      <c r="P404" s="2"/>
    </row>
    <row r="405" spans="16:16" ht="15.75" customHeight="1">
      <c r="P405" s="2"/>
    </row>
    <row r="406" spans="16:16" ht="15.75" customHeight="1">
      <c r="P406" s="2"/>
    </row>
    <row r="407" spans="16:16" ht="15.75" customHeight="1">
      <c r="P407" s="2"/>
    </row>
    <row r="408" spans="16:16" ht="15.75" customHeight="1">
      <c r="P408" s="2"/>
    </row>
    <row r="409" spans="16:16" ht="15.75" customHeight="1">
      <c r="P409" s="2"/>
    </row>
    <row r="410" spans="16:16" ht="15.75" customHeight="1">
      <c r="P410" s="2"/>
    </row>
    <row r="411" spans="16:16" ht="15.75" customHeight="1">
      <c r="P411" s="2"/>
    </row>
    <row r="412" spans="16:16" ht="15.75" customHeight="1">
      <c r="P412" s="2"/>
    </row>
    <row r="413" spans="16:16" ht="15.75" customHeight="1">
      <c r="P413" s="2"/>
    </row>
    <row r="414" spans="16:16" ht="15.75" customHeight="1">
      <c r="P414" s="2"/>
    </row>
    <row r="415" spans="16:16" ht="15.75" customHeight="1">
      <c r="P415" s="2"/>
    </row>
    <row r="416" spans="16:16" ht="15.75" customHeight="1">
      <c r="P416" s="2"/>
    </row>
    <row r="417" spans="16:16" ht="15.75" customHeight="1">
      <c r="P417" s="2"/>
    </row>
    <row r="418" spans="16:16" ht="15.75" customHeight="1">
      <c r="P418" s="2"/>
    </row>
    <row r="419" spans="16:16" ht="15.75" customHeight="1">
      <c r="P419" s="2"/>
    </row>
    <row r="420" spans="16:16" ht="15.75" customHeight="1">
      <c r="P420" s="2"/>
    </row>
    <row r="421" spans="16:16" ht="15.75" customHeight="1">
      <c r="P421" s="2"/>
    </row>
    <row r="422" spans="16:16" ht="15.75" customHeight="1">
      <c r="P422" s="2"/>
    </row>
    <row r="423" spans="16:16" ht="15.75" customHeight="1">
      <c r="P423" s="2"/>
    </row>
    <row r="424" spans="16:16" ht="15.75" customHeight="1">
      <c r="P424" s="2"/>
    </row>
    <row r="425" spans="16:16" ht="15.75" customHeight="1">
      <c r="P425" s="2"/>
    </row>
    <row r="426" spans="16:16" ht="15.75" customHeight="1">
      <c r="P426" s="2"/>
    </row>
    <row r="427" spans="16:16" ht="15.75" customHeight="1">
      <c r="P427" s="2"/>
    </row>
    <row r="428" spans="16:16" ht="15.75" customHeight="1">
      <c r="P428" s="2"/>
    </row>
    <row r="429" spans="16:16" ht="15.75" customHeight="1">
      <c r="P429" s="2"/>
    </row>
    <row r="430" spans="16:16" ht="15.75" customHeight="1">
      <c r="P430" s="2"/>
    </row>
    <row r="431" spans="16:16" ht="15.75" customHeight="1">
      <c r="P431" s="2"/>
    </row>
    <row r="432" spans="16:16" ht="15.75" customHeight="1">
      <c r="P432" s="2"/>
    </row>
    <row r="433" spans="16:16" ht="15.75" customHeight="1">
      <c r="P433" s="2"/>
    </row>
    <row r="434" spans="16:16" ht="15.75" customHeight="1">
      <c r="P434" s="2"/>
    </row>
    <row r="435" spans="16:16" ht="15.75" customHeight="1">
      <c r="P435" s="2"/>
    </row>
    <row r="436" spans="16:16" ht="15.75" customHeight="1">
      <c r="P436" s="2"/>
    </row>
    <row r="437" spans="16:16" ht="15.75" customHeight="1">
      <c r="P437" s="2"/>
    </row>
    <row r="438" spans="16:16" ht="15.75" customHeight="1">
      <c r="P438" s="2"/>
    </row>
    <row r="439" spans="16:16" ht="15.75" customHeight="1">
      <c r="P439" s="2"/>
    </row>
    <row r="440" spans="16:16" ht="15.75" customHeight="1">
      <c r="P440" s="2"/>
    </row>
    <row r="441" spans="16:16" ht="15.75" customHeight="1">
      <c r="P441" s="2"/>
    </row>
    <row r="442" spans="16:16" ht="15.75" customHeight="1">
      <c r="P442" s="2"/>
    </row>
    <row r="443" spans="16:16" ht="15.75" customHeight="1">
      <c r="P443" s="2"/>
    </row>
    <row r="444" spans="16:16" ht="15.75" customHeight="1">
      <c r="P444" s="2"/>
    </row>
    <row r="445" spans="16:16" ht="15.75" customHeight="1">
      <c r="P445" s="2"/>
    </row>
    <row r="446" spans="16:16" ht="15.75" customHeight="1">
      <c r="P446" s="2"/>
    </row>
    <row r="447" spans="16:16" ht="15.75" customHeight="1">
      <c r="P447" s="2"/>
    </row>
    <row r="448" spans="16:16" ht="15.75" customHeight="1">
      <c r="P448" s="2"/>
    </row>
    <row r="449" spans="16:16" ht="15.75" customHeight="1">
      <c r="P449" s="2"/>
    </row>
    <row r="450" spans="16:16" ht="15.75" customHeight="1">
      <c r="P450" s="2"/>
    </row>
    <row r="451" spans="16:16" ht="15.75" customHeight="1">
      <c r="P451" s="2"/>
    </row>
    <row r="452" spans="16:16" ht="15.75" customHeight="1">
      <c r="P452" s="2"/>
    </row>
    <row r="453" spans="16:16" ht="15.75" customHeight="1">
      <c r="P453" s="2"/>
    </row>
    <row r="454" spans="16:16" ht="15.75" customHeight="1">
      <c r="P454" s="2"/>
    </row>
    <row r="455" spans="16:16" ht="15.75" customHeight="1">
      <c r="P455" s="2"/>
    </row>
    <row r="456" spans="16:16" ht="15.75" customHeight="1">
      <c r="P456" s="2"/>
    </row>
    <row r="457" spans="16:16" ht="15.75" customHeight="1">
      <c r="P457" s="2"/>
    </row>
    <row r="458" spans="16:16" ht="15.75" customHeight="1">
      <c r="P458" s="2"/>
    </row>
    <row r="459" spans="16:16" ht="15.75" customHeight="1">
      <c r="P459" s="2"/>
    </row>
    <row r="460" spans="16:16" ht="15.75" customHeight="1">
      <c r="P460" s="2"/>
    </row>
    <row r="461" spans="16:16" ht="15.75" customHeight="1">
      <c r="P461" s="2"/>
    </row>
    <row r="462" spans="16:16" ht="15.75" customHeight="1">
      <c r="P462" s="2"/>
    </row>
    <row r="463" spans="16:16" ht="15.75" customHeight="1">
      <c r="P463" s="2"/>
    </row>
    <row r="464" spans="16:16" ht="15.75" customHeight="1">
      <c r="P464" s="2"/>
    </row>
    <row r="465" spans="16:16" ht="15.75" customHeight="1">
      <c r="P465" s="2"/>
    </row>
    <row r="466" spans="16:16" ht="15.75" customHeight="1">
      <c r="P466" s="2"/>
    </row>
    <row r="467" spans="16:16" ht="15.75" customHeight="1">
      <c r="P467" s="2"/>
    </row>
    <row r="468" spans="16:16" ht="15.75" customHeight="1">
      <c r="P468" s="2"/>
    </row>
    <row r="469" spans="16:16" ht="15.75" customHeight="1">
      <c r="P469" s="2"/>
    </row>
    <row r="470" spans="16:16" ht="15.75" customHeight="1">
      <c r="P470" s="2"/>
    </row>
    <row r="471" spans="16:16" ht="15.75" customHeight="1">
      <c r="P471" s="2"/>
    </row>
    <row r="472" spans="16:16" ht="15.75" customHeight="1">
      <c r="P472" s="2"/>
    </row>
    <row r="473" spans="16:16" ht="15.75" customHeight="1">
      <c r="P473" s="2"/>
    </row>
    <row r="474" spans="16:16" ht="15.75" customHeight="1">
      <c r="P474" s="2"/>
    </row>
    <row r="475" spans="16:16" ht="15.75" customHeight="1">
      <c r="P475" s="2"/>
    </row>
    <row r="476" spans="16:16" ht="15.75" customHeight="1">
      <c r="P476" s="2"/>
    </row>
    <row r="477" spans="16:16" ht="15.75" customHeight="1">
      <c r="P477" s="2"/>
    </row>
    <row r="478" spans="16:16" ht="15.75" customHeight="1">
      <c r="P478" s="2"/>
    </row>
    <row r="479" spans="16:16" ht="15.75" customHeight="1">
      <c r="P479" s="2"/>
    </row>
    <row r="480" spans="16:16" ht="15.75" customHeight="1">
      <c r="P480" s="2"/>
    </row>
    <row r="481" spans="16:16" ht="15.75" customHeight="1">
      <c r="P481" s="2"/>
    </row>
    <row r="482" spans="16:16" ht="15.75" customHeight="1">
      <c r="P482" s="2"/>
    </row>
    <row r="483" spans="16:16" ht="15.75" customHeight="1">
      <c r="P483" s="2"/>
    </row>
    <row r="484" spans="16:16" ht="15.75" customHeight="1">
      <c r="P484" s="2"/>
    </row>
    <row r="485" spans="16:16" ht="15.75" customHeight="1">
      <c r="P485" s="2"/>
    </row>
    <row r="486" spans="16:16" ht="15.75" customHeight="1">
      <c r="P486" s="2"/>
    </row>
    <row r="487" spans="16:16" ht="15.75" customHeight="1">
      <c r="P487" s="2"/>
    </row>
    <row r="488" spans="16:16" ht="15.75" customHeight="1">
      <c r="P488" s="2"/>
    </row>
    <row r="489" spans="16:16" ht="15.75" customHeight="1">
      <c r="P489" s="2"/>
    </row>
    <row r="490" spans="16:16" ht="15.75" customHeight="1">
      <c r="P490" s="2"/>
    </row>
    <row r="491" spans="16:16" ht="15.75" customHeight="1">
      <c r="P491" s="2"/>
    </row>
    <row r="492" spans="16:16" ht="15.75" customHeight="1">
      <c r="P492" s="2"/>
    </row>
    <row r="493" spans="16:16" ht="15.75" customHeight="1">
      <c r="P493" s="2"/>
    </row>
    <row r="494" spans="16:16" ht="15.75" customHeight="1">
      <c r="P494" s="2"/>
    </row>
    <row r="495" spans="16:16" ht="15.75" customHeight="1">
      <c r="P495" s="2"/>
    </row>
    <row r="496" spans="16:16" ht="15.75" customHeight="1">
      <c r="P496" s="2"/>
    </row>
    <row r="497" spans="16:16" ht="15.75" customHeight="1">
      <c r="P497" s="2"/>
    </row>
    <row r="498" spans="16:16" ht="15.75" customHeight="1">
      <c r="P498" s="2"/>
    </row>
    <row r="499" spans="16:16" ht="15.75" customHeight="1">
      <c r="P499" s="2"/>
    </row>
    <row r="500" spans="16:16" ht="15.75" customHeight="1">
      <c r="P500" s="2"/>
    </row>
    <row r="501" spans="16:16" ht="15.75" customHeight="1">
      <c r="P501" s="2"/>
    </row>
    <row r="502" spans="16:16" ht="15.75" customHeight="1">
      <c r="P502" s="2"/>
    </row>
    <row r="503" spans="16:16" ht="15.75" customHeight="1">
      <c r="P503" s="2"/>
    </row>
    <row r="504" spans="16:16" ht="15.75" customHeight="1">
      <c r="P504" s="2"/>
    </row>
    <row r="505" spans="16:16" ht="15.75" customHeight="1">
      <c r="P505" s="2"/>
    </row>
    <row r="506" spans="16:16" ht="15.75" customHeight="1">
      <c r="P506" s="2"/>
    </row>
    <row r="507" spans="16:16" ht="15.75" customHeight="1">
      <c r="P507" s="2"/>
    </row>
    <row r="508" spans="16:16" ht="15.75" customHeight="1">
      <c r="P508" s="2"/>
    </row>
    <row r="509" spans="16:16" ht="15.75" customHeight="1">
      <c r="P509" s="2"/>
    </row>
    <row r="510" spans="16:16" ht="15.75" customHeight="1">
      <c r="P510" s="2"/>
    </row>
    <row r="511" spans="16:16" ht="15.75" customHeight="1">
      <c r="P511" s="2"/>
    </row>
    <row r="512" spans="16:16" ht="15.75" customHeight="1">
      <c r="P512" s="2"/>
    </row>
    <row r="513" spans="16:16" ht="15.75" customHeight="1">
      <c r="P513" s="2"/>
    </row>
    <row r="514" spans="16:16" ht="15.75" customHeight="1">
      <c r="P514" s="2"/>
    </row>
    <row r="515" spans="16:16" ht="15.75" customHeight="1">
      <c r="P515" s="2"/>
    </row>
    <row r="516" spans="16:16" ht="15.75" customHeight="1">
      <c r="P516" s="2"/>
    </row>
    <row r="517" spans="16:16" ht="15.75" customHeight="1">
      <c r="P517" s="2"/>
    </row>
    <row r="518" spans="16:16" ht="15.75" customHeight="1">
      <c r="P518" s="2"/>
    </row>
    <row r="519" spans="16:16" ht="15.75" customHeight="1">
      <c r="P519" s="2"/>
    </row>
    <row r="520" spans="16:16" ht="15.75" customHeight="1">
      <c r="P520" s="2"/>
    </row>
    <row r="521" spans="16:16" ht="15.75" customHeight="1">
      <c r="P521" s="2"/>
    </row>
    <row r="522" spans="16:16" ht="15.75" customHeight="1">
      <c r="P522" s="2"/>
    </row>
    <row r="523" spans="16:16" ht="15.75" customHeight="1">
      <c r="P523" s="2"/>
    </row>
    <row r="524" spans="16:16" ht="15.75" customHeight="1">
      <c r="P524" s="2"/>
    </row>
    <row r="525" spans="16:16" ht="15.75" customHeight="1">
      <c r="P525" s="2"/>
    </row>
    <row r="526" spans="16:16" ht="15.75" customHeight="1">
      <c r="P526" s="2"/>
    </row>
    <row r="527" spans="16:16" ht="15.75" customHeight="1">
      <c r="P527" s="2"/>
    </row>
    <row r="528" spans="16:16" ht="15.75" customHeight="1">
      <c r="P528" s="2"/>
    </row>
    <row r="529" spans="16:16" ht="15.75" customHeight="1">
      <c r="P529" s="2"/>
    </row>
    <row r="530" spans="16:16" ht="15.75" customHeight="1">
      <c r="P530" s="2"/>
    </row>
    <row r="531" spans="16:16" ht="15.75" customHeight="1">
      <c r="P531" s="2"/>
    </row>
    <row r="532" spans="16:16" ht="15.75" customHeight="1">
      <c r="P532" s="2"/>
    </row>
    <row r="533" spans="16:16" ht="15.75" customHeight="1">
      <c r="P533" s="2"/>
    </row>
    <row r="534" spans="16:16" ht="15.75" customHeight="1">
      <c r="P534" s="2"/>
    </row>
    <row r="535" spans="16:16" ht="15.75" customHeight="1">
      <c r="P535" s="2"/>
    </row>
    <row r="536" spans="16:16" ht="15.75" customHeight="1">
      <c r="P536" s="2"/>
    </row>
    <row r="537" spans="16:16" ht="15.75" customHeight="1">
      <c r="P537" s="2"/>
    </row>
    <row r="538" spans="16:16" ht="15.75" customHeight="1">
      <c r="P538" s="2"/>
    </row>
    <row r="539" spans="16:16" ht="15.75" customHeight="1">
      <c r="P539" s="2"/>
    </row>
    <row r="540" spans="16:16" ht="15.75" customHeight="1">
      <c r="P540" s="2"/>
    </row>
    <row r="541" spans="16:16" ht="15.75" customHeight="1">
      <c r="P541" s="2"/>
    </row>
    <row r="542" spans="16:16" ht="15.75" customHeight="1">
      <c r="P542" s="2"/>
    </row>
    <row r="543" spans="16:16" ht="15.75" customHeight="1">
      <c r="P543" s="2"/>
    </row>
    <row r="544" spans="16:16" ht="15.75" customHeight="1">
      <c r="P544" s="2"/>
    </row>
    <row r="545" spans="16:16" ht="15.75" customHeight="1">
      <c r="P545" s="2"/>
    </row>
    <row r="546" spans="16:16" ht="15.75" customHeight="1">
      <c r="P546" s="2"/>
    </row>
    <row r="547" spans="16:16" ht="15.75" customHeight="1">
      <c r="P547" s="2"/>
    </row>
    <row r="548" spans="16:16" ht="15.75" customHeight="1">
      <c r="P548" s="2"/>
    </row>
    <row r="549" spans="16:16" ht="15.75" customHeight="1">
      <c r="P549" s="2"/>
    </row>
    <row r="550" spans="16:16" ht="15.75" customHeight="1">
      <c r="P550" s="2"/>
    </row>
    <row r="551" spans="16:16" ht="15.75" customHeight="1">
      <c r="P551" s="2"/>
    </row>
    <row r="552" spans="16:16" ht="15.75" customHeight="1">
      <c r="P552" s="2"/>
    </row>
    <row r="553" spans="16:16" ht="15.75" customHeight="1">
      <c r="P553" s="2"/>
    </row>
    <row r="554" spans="16:16" ht="15.75" customHeight="1">
      <c r="P554" s="2"/>
    </row>
    <row r="555" spans="16:16" ht="15.75" customHeight="1">
      <c r="P555" s="2"/>
    </row>
    <row r="556" spans="16:16" ht="15.75" customHeight="1">
      <c r="P556" s="2"/>
    </row>
    <row r="557" spans="16:16" ht="15.75" customHeight="1">
      <c r="P557" s="2"/>
    </row>
    <row r="558" spans="16:16" ht="15.75" customHeight="1">
      <c r="P558" s="2"/>
    </row>
    <row r="559" spans="16:16" ht="15.75" customHeight="1">
      <c r="P559" s="2"/>
    </row>
    <row r="560" spans="16:16" ht="15.75" customHeight="1">
      <c r="P560" s="2"/>
    </row>
    <row r="561" spans="16:16" ht="15.75" customHeight="1">
      <c r="P561" s="2"/>
    </row>
    <row r="562" spans="16:16" ht="15.75" customHeight="1">
      <c r="P562" s="2"/>
    </row>
    <row r="563" spans="16:16" ht="15.75" customHeight="1">
      <c r="P563" s="2"/>
    </row>
    <row r="564" spans="16:16" ht="15.75" customHeight="1">
      <c r="P564" s="2"/>
    </row>
    <row r="565" spans="16:16" ht="15.75" customHeight="1">
      <c r="P565" s="2"/>
    </row>
    <row r="566" spans="16:16" ht="15.75" customHeight="1">
      <c r="P566" s="2"/>
    </row>
    <row r="567" spans="16:16" ht="15.75" customHeight="1">
      <c r="P567" s="2"/>
    </row>
    <row r="568" spans="16:16" ht="15.75" customHeight="1">
      <c r="P568" s="2"/>
    </row>
    <row r="569" spans="16:16" ht="15.75" customHeight="1">
      <c r="P569" s="2"/>
    </row>
    <row r="570" spans="16:16" ht="15.75" customHeight="1">
      <c r="P570" s="2"/>
    </row>
    <row r="571" spans="16:16" ht="15.75" customHeight="1">
      <c r="P571" s="2"/>
    </row>
    <row r="572" spans="16:16" ht="15.75" customHeight="1">
      <c r="P572" s="2"/>
    </row>
    <row r="573" spans="16:16" ht="15.75" customHeight="1">
      <c r="P573" s="2"/>
    </row>
    <row r="574" spans="16:16" ht="15.75" customHeight="1">
      <c r="P574" s="2"/>
    </row>
    <row r="575" spans="16:16" ht="15.75" customHeight="1">
      <c r="P575" s="2"/>
    </row>
    <row r="576" spans="16:16" ht="15.75" customHeight="1">
      <c r="P576" s="2"/>
    </row>
    <row r="577" spans="16:16" ht="15.75" customHeight="1">
      <c r="P577" s="2"/>
    </row>
    <row r="578" spans="16:16" ht="15.75" customHeight="1">
      <c r="P578" s="2"/>
    </row>
    <row r="579" spans="16:16" ht="15.75" customHeight="1">
      <c r="P579" s="2"/>
    </row>
    <row r="580" spans="16:16" ht="15.75" customHeight="1">
      <c r="P580" s="2"/>
    </row>
    <row r="581" spans="16:16" ht="15.75" customHeight="1">
      <c r="P581" s="2"/>
    </row>
    <row r="582" spans="16:16" ht="15.75" customHeight="1">
      <c r="P582" s="2"/>
    </row>
    <row r="583" spans="16:16" ht="15.75" customHeight="1">
      <c r="P583" s="2"/>
    </row>
    <row r="584" spans="16:16" ht="15.75" customHeight="1">
      <c r="P584" s="2"/>
    </row>
    <row r="585" spans="16:16" ht="15.75" customHeight="1">
      <c r="P585" s="2"/>
    </row>
    <row r="586" spans="16:16" ht="15.75" customHeight="1">
      <c r="P586" s="2"/>
    </row>
    <row r="587" spans="16:16" ht="15.75" customHeight="1">
      <c r="P587" s="2"/>
    </row>
    <row r="588" spans="16:16" ht="15.75" customHeight="1">
      <c r="P588" s="2"/>
    </row>
    <row r="589" spans="16:16" ht="15.75" customHeight="1">
      <c r="P589" s="2"/>
    </row>
    <row r="590" spans="16:16" ht="15.75" customHeight="1">
      <c r="P590" s="2"/>
    </row>
    <row r="591" spans="16:16" ht="15.75" customHeight="1">
      <c r="P591" s="2"/>
    </row>
    <row r="592" spans="16:16" ht="15.75" customHeight="1">
      <c r="P592" s="2"/>
    </row>
    <row r="593" spans="16:16" ht="15.75" customHeight="1">
      <c r="P593" s="2"/>
    </row>
    <row r="594" spans="16:16" ht="15.75" customHeight="1">
      <c r="P594" s="2"/>
    </row>
    <row r="595" spans="16:16" ht="15.75" customHeight="1">
      <c r="P595" s="2"/>
    </row>
    <row r="596" spans="16:16" ht="15.75" customHeight="1">
      <c r="P596" s="2"/>
    </row>
    <row r="597" spans="16:16" ht="15.75" customHeight="1">
      <c r="P597" s="2"/>
    </row>
    <row r="598" spans="16:16" ht="15.75" customHeight="1">
      <c r="P598" s="2"/>
    </row>
    <row r="599" spans="16:16" ht="15.75" customHeight="1">
      <c r="P599" s="2"/>
    </row>
    <row r="600" spans="16:16" ht="15.75" customHeight="1">
      <c r="P600" s="2"/>
    </row>
    <row r="601" spans="16:16" ht="15.75" customHeight="1">
      <c r="P601" s="2"/>
    </row>
    <row r="602" spans="16:16" ht="15.75" customHeight="1">
      <c r="P602" s="2"/>
    </row>
    <row r="603" spans="16:16" ht="15.75" customHeight="1">
      <c r="P603" s="2"/>
    </row>
    <row r="604" spans="16:16" ht="15.75" customHeight="1">
      <c r="P604" s="2"/>
    </row>
    <row r="605" spans="16:16" ht="15.75" customHeight="1">
      <c r="P605" s="2"/>
    </row>
    <row r="606" spans="16:16" ht="15.75" customHeight="1">
      <c r="P606" s="2"/>
    </row>
    <row r="607" spans="16:16" ht="15.75" customHeight="1">
      <c r="P607" s="2"/>
    </row>
    <row r="608" spans="16:16" ht="15.75" customHeight="1">
      <c r="P608" s="2"/>
    </row>
    <row r="609" spans="16:16" ht="15.75" customHeight="1">
      <c r="P609" s="2"/>
    </row>
    <row r="610" spans="16:16" ht="15.75" customHeight="1">
      <c r="P610" s="2"/>
    </row>
    <row r="611" spans="16:16" ht="15.75" customHeight="1">
      <c r="P611" s="2"/>
    </row>
    <row r="612" spans="16:16" ht="15.75" customHeight="1">
      <c r="P612" s="2"/>
    </row>
    <row r="613" spans="16:16" ht="15.75" customHeight="1">
      <c r="P613" s="2"/>
    </row>
    <row r="614" spans="16:16" ht="15.75" customHeight="1">
      <c r="P614" s="2"/>
    </row>
    <row r="615" spans="16:16" ht="15.75" customHeight="1">
      <c r="P615" s="2"/>
    </row>
    <row r="616" spans="16:16" ht="15.75" customHeight="1">
      <c r="P616" s="2"/>
    </row>
    <row r="617" spans="16:16" ht="15.75" customHeight="1">
      <c r="P617" s="2"/>
    </row>
    <row r="618" spans="16:16" ht="15.75" customHeight="1">
      <c r="P618" s="2"/>
    </row>
    <row r="619" spans="16:16" ht="15.75" customHeight="1">
      <c r="P619" s="2"/>
    </row>
    <row r="620" spans="16:16" ht="15.75" customHeight="1">
      <c r="P620" s="2"/>
    </row>
    <row r="621" spans="16:16" ht="15.75" customHeight="1">
      <c r="P621" s="2"/>
    </row>
    <row r="622" spans="16:16" ht="15.75" customHeight="1">
      <c r="P622" s="2"/>
    </row>
    <row r="623" spans="16:16" ht="15.75" customHeight="1">
      <c r="P623" s="2"/>
    </row>
    <row r="624" spans="16:16" ht="15.75" customHeight="1">
      <c r="P624" s="2"/>
    </row>
    <row r="625" spans="16:16" ht="15.75" customHeight="1">
      <c r="P625" s="2"/>
    </row>
    <row r="626" spans="16:16" ht="15.75" customHeight="1">
      <c r="P626" s="2"/>
    </row>
    <row r="627" spans="16:16" ht="15.75" customHeight="1">
      <c r="P627" s="2"/>
    </row>
    <row r="628" spans="16:16" ht="15.75" customHeight="1">
      <c r="P628" s="2"/>
    </row>
    <row r="629" spans="16:16" ht="15.75" customHeight="1">
      <c r="P629" s="2"/>
    </row>
    <row r="630" spans="16:16" ht="15.75" customHeight="1">
      <c r="P630" s="2"/>
    </row>
    <row r="631" spans="16:16" ht="15.75" customHeight="1">
      <c r="P631" s="2"/>
    </row>
    <row r="632" spans="16:16" ht="15.75" customHeight="1">
      <c r="P632" s="2"/>
    </row>
    <row r="633" spans="16:16" ht="15.75" customHeight="1">
      <c r="P633" s="2"/>
    </row>
    <row r="634" spans="16:16" ht="15.75" customHeight="1">
      <c r="P634" s="2"/>
    </row>
    <row r="635" spans="16:16" ht="15.75" customHeight="1">
      <c r="P635" s="2"/>
    </row>
    <row r="636" spans="16:16" ht="15.75" customHeight="1">
      <c r="P636" s="2"/>
    </row>
    <row r="637" spans="16:16" ht="15.75" customHeight="1">
      <c r="P637" s="2"/>
    </row>
    <row r="638" spans="16:16" ht="15.75" customHeight="1">
      <c r="P638" s="2"/>
    </row>
    <row r="639" spans="16:16" ht="15.75" customHeight="1">
      <c r="P639" s="2"/>
    </row>
    <row r="640" spans="16:16" ht="15.75" customHeight="1">
      <c r="P640" s="2"/>
    </row>
    <row r="641" spans="16:16" ht="15.75" customHeight="1">
      <c r="P641" s="2"/>
    </row>
    <row r="642" spans="16:16" ht="15.75" customHeight="1">
      <c r="P642" s="2"/>
    </row>
    <row r="643" spans="16:16" ht="15.75" customHeight="1">
      <c r="P643" s="2"/>
    </row>
    <row r="644" spans="16:16" ht="15.75" customHeight="1">
      <c r="P644" s="2"/>
    </row>
    <row r="645" spans="16:16" ht="15.75" customHeight="1">
      <c r="P645" s="2"/>
    </row>
    <row r="646" spans="16:16" ht="15.75" customHeight="1">
      <c r="P646" s="2"/>
    </row>
    <row r="647" spans="16:16" ht="15.75" customHeight="1">
      <c r="P647" s="2"/>
    </row>
    <row r="648" spans="16:16" ht="15.75" customHeight="1">
      <c r="P648" s="2"/>
    </row>
    <row r="649" spans="16:16" ht="15.75" customHeight="1">
      <c r="P649" s="2"/>
    </row>
    <row r="650" spans="16:16" ht="15.75" customHeight="1">
      <c r="P650" s="2"/>
    </row>
    <row r="651" spans="16:16" ht="15.75" customHeight="1">
      <c r="P651" s="2"/>
    </row>
    <row r="652" spans="16:16" ht="15.75" customHeight="1">
      <c r="P652" s="2"/>
    </row>
    <row r="653" spans="16:16" ht="15.75" customHeight="1">
      <c r="P653" s="2"/>
    </row>
    <row r="654" spans="16:16" ht="15.75" customHeight="1">
      <c r="P654" s="2"/>
    </row>
    <row r="655" spans="16:16" ht="15.75" customHeight="1">
      <c r="P655" s="2"/>
    </row>
    <row r="656" spans="16:16" ht="15.75" customHeight="1">
      <c r="P656" s="2"/>
    </row>
    <row r="657" spans="16:16" ht="15.75" customHeight="1">
      <c r="P657" s="2"/>
    </row>
    <row r="658" spans="16:16" ht="15.75" customHeight="1">
      <c r="P658" s="2"/>
    </row>
    <row r="659" spans="16:16" ht="15.75" customHeight="1">
      <c r="P659" s="2"/>
    </row>
    <row r="660" spans="16:16" ht="15.75" customHeight="1">
      <c r="P660" s="2"/>
    </row>
    <row r="661" spans="16:16" ht="15.75" customHeight="1">
      <c r="P661" s="2"/>
    </row>
    <row r="662" spans="16:16" ht="15.75" customHeight="1">
      <c r="P662" s="2"/>
    </row>
    <row r="663" spans="16:16" ht="15.75" customHeight="1">
      <c r="P663" s="2"/>
    </row>
    <row r="664" spans="16:16" ht="15.75" customHeight="1">
      <c r="P664" s="2"/>
    </row>
    <row r="665" spans="16:16" ht="15.75" customHeight="1">
      <c r="P665" s="2"/>
    </row>
    <row r="666" spans="16:16" ht="15.75" customHeight="1">
      <c r="P666" s="2"/>
    </row>
    <row r="667" spans="16:16" ht="15.75" customHeight="1">
      <c r="P667" s="2"/>
    </row>
    <row r="668" spans="16:16" ht="15.75" customHeight="1">
      <c r="P668" s="2"/>
    </row>
    <row r="669" spans="16:16" ht="15.75" customHeight="1">
      <c r="P669" s="2"/>
    </row>
    <row r="670" spans="16:16" ht="15.75" customHeight="1">
      <c r="P670" s="2"/>
    </row>
    <row r="671" spans="16:16" ht="15.75" customHeight="1">
      <c r="P671" s="2"/>
    </row>
    <row r="672" spans="16:16" ht="15.75" customHeight="1">
      <c r="P672" s="2"/>
    </row>
    <row r="673" spans="16:16" ht="15.75" customHeight="1">
      <c r="P673" s="2"/>
    </row>
    <row r="674" spans="16:16" ht="15.75" customHeight="1">
      <c r="P674" s="2"/>
    </row>
    <row r="675" spans="16:16" ht="15.75" customHeight="1">
      <c r="P675" s="2"/>
    </row>
    <row r="676" spans="16:16" ht="15.75" customHeight="1">
      <c r="P676" s="2"/>
    </row>
    <row r="677" spans="16:16" ht="15.75" customHeight="1">
      <c r="P677" s="2"/>
    </row>
    <row r="678" spans="16:16" ht="15.75" customHeight="1">
      <c r="P678" s="2"/>
    </row>
    <row r="679" spans="16:16" ht="15.75" customHeight="1">
      <c r="P679" s="2"/>
    </row>
    <row r="680" spans="16:16" ht="15.75" customHeight="1">
      <c r="P680" s="2"/>
    </row>
    <row r="681" spans="16:16" ht="15.75" customHeight="1">
      <c r="P681" s="2"/>
    </row>
    <row r="682" spans="16:16" ht="15.75" customHeight="1">
      <c r="P682" s="2"/>
    </row>
    <row r="683" spans="16:16" ht="15.75" customHeight="1">
      <c r="P683" s="2"/>
    </row>
    <row r="684" spans="16:16" ht="15.75" customHeight="1">
      <c r="P684" s="2"/>
    </row>
    <row r="685" spans="16:16" ht="15.75" customHeight="1">
      <c r="P685" s="2"/>
    </row>
    <row r="686" spans="16:16" ht="15.75" customHeight="1">
      <c r="P686" s="2"/>
    </row>
    <row r="687" spans="16:16" ht="15.75" customHeight="1">
      <c r="P687" s="2"/>
    </row>
    <row r="688" spans="16:16" ht="15.75" customHeight="1">
      <c r="P688" s="2"/>
    </row>
    <row r="689" spans="16:16" ht="15.75" customHeight="1">
      <c r="P689" s="2"/>
    </row>
    <row r="690" spans="16:16" ht="15.75" customHeight="1">
      <c r="P690" s="2"/>
    </row>
    <row r="691" spans="16:16" ht="15.75" customHeight="1">
      <c r="P691" s="2"/>
    </row>
    <row r="692" spans="16:16" ht="15.75" customHeight="1">
      <c r="P692" s="2"/>
    </row>
    <row r="693" spans="16:16" ht="15.75" customHeight="1">
      <c r="P693" s="2"/>
    </row>
    <row r="694" spans="16:16" ht="15.75" customHeight="1">
      <c r="P694" s="2"/>
    </row>
    <row r="695" spans="16:16" ht="15.75" customHeight="1">
      <c r="P695" s="2"/>
    </row>
    <row r="696" spans="16:16" ht="15.75" customHeight="1">
      <c r="P696" s="2"/>
    </row>
    <row r="697" spans="16:16" ht="15.75" customHeight="1">
      <c r="P697" s="2"/>
    </row>
    <row r="698" spans="16:16" ht="15.75" customHeight="1">
      <c r="P698" s="2"/>
    </row>
    <row r="699" spans="16:16" ht="15.75" customHeight="1">
      <c r="P699" s="2"/>
    </row>
    <row r="700" spans="16:16" ht="15.75" customHeight="1">
      <c r="P700" s="2"/>
    </row>
    <row r="701" spans="16:16" ht="15.75" customHeight="1">
      <c r="P701" s="2"/>
    </row>
    <row r="702" spans="16:16" ht="15.75" customHeight="1">
      <c r="P702" s="2"/>
    </row>
    <row r="703" spans="16:16" ht="15.75" customHeight="1">
      <c r="P703" s="2"/>
    </row>
    <row r="704" spans="16:16" ht="15.75" customHeight="1">
      <c r="P704" s="2"/>
    </row>
    <row r="705" spans="16:16" ht="15.75" customHeight="1">
      <c r="P705" s="2"/>
    </row>
    <row r="706" spans="16:16" ht="15.75" customHeight="1">
      <c r="P706" s="2"/>
    </row>
    <row r="707" spans="16:16" ht="15.75" customHeight="1">
      <c r="P707" s="2"/>
    </row>
    <row r="708" spans="16:16" ht="15.75" customHeight="1">
      <c r="P708" s="2"/>
    </row>
    <row r="709" spans="16:16" ht="15.75" customHeight="1">
      <c r="P709" s="2"/>
    </row>
    <row r="710" spans="16:16" ht="15.75" customHeight="1">
      <c r="P710" s="2"/>
    </row>
    <row r="711" spans="16:16" ht="15.75" customHeight="1">
      <c r="P711" s="2"/>
    </row>
    <row r="712" spans="16:16" ht="15.75" customHeight="1">
      <c r="P712" s="2"/>
    </row>
    <row r="713" spans="16:16" ht="15.75" customHeight="1">
      <c r="P713" s="2"/>
    </row>
    <row r="714" spans="16:16" ht="15.75" customHeight="1">
      <c r="P714" s="2"/>
    </row>
    <row r="715" spans="16:16" ht="15.75" customHeight="1">
      <c r="P715" s="2"/>
    </row>
    <row r="716" spans="16:16" ht="15.75" customHeight="1">
      <c r="P716" s="2"/>
    </row>
    <row r="717" spans="16:16" ht="15.75" customHeight="1">
      <c r="P717" s="2"/>
    </row>
    <row r="718" spans="16:16" ht="15.75" customHeight="1">
      <c r="P718" s="2"/>
    </row>
    <row r="719" spans="16:16" ht="15.75" customHeight="1">
      <c r="P719" s="2"/>
    </row>
    <row r="720" spans="16:16" ht="15.75" customHeight="1">
      <c r="P720" s="2"/>
    </row>
    <row r="721" spans="16:16" ht="15.75" customHeight="1">
      <c r="P721" s="2"/>
    </row>
    <row r="722" spans="16:16" ht="15.75" customHeight="1">
      <c r="P722" s="2"/>
    </row>
    <row r="723" spans="16:16" ht="15.75" customHeight="1">
      <c r="P723" s="2"/>
    </row>
    <row r="724" spans="16:16" ht="15.75" customHeight="1">
      <c r="P724" s="2"/>
    </row>
    <row r="725" spans="16:16" ht="15.75" customHeight="1">
      <c r="P725" s="2"/>
    </row>
    <row r="726" spans="16:16" ht="15.75" customHeight="1">
      <c r="P726" s="2"/>
    </row>
    <row r="727" spans="16:16" ht="15.75" customHeight="1">
      <c r="P727" s="2"/>
    </row>
    <row r="728" spans="16:16" ht="15.75" customHeight="1">
      <c r="P728" s="2"/>
    </row>
    <row r="729" spans="16:16" ht="15.75" customHeight="1">
      <c r="P729" s="2"/>
    </row>
    <row r="730" spans="16:16" ht="15.75" customHeight="1">
      <c r="P730" s="2"/>
    </row>
    <row r="731" spans="16:16" ht="15.75" customHeight="1">
      <c r="P731" s="2"/>
    </row>
    <row r="732" spans="16:16" ht="15.75" customHeight="1">
      <c r="P732" s="2"/>
    </row>
    <row r="733" spans="16:16" ht="15.75" customHeight="1">
      <c r="P733" s="2"/>
    </row>
    <row r="734" spans="16:16" ht="15.75" customHeight="1">
      <c r="P734" s="2"/>
    </row>
    <row r="735" spans="16:16" ht="15.75" customHeight="1">
      <c r="P735" s="2"/>
    </row>
    <row r="736" spans="16:16" ht="15.75" customHeight="1">
      <c r="P736" s="2"/>
    </row>
    <row r="737" spans="16:16" ht="15.75" customHeight="1">
      <c r="P737" s="2"/>
    </row>
    <row r="738" spans="16:16" ht="15.75" customHeight="1">
      <c r="P738" s="2"/>
    </row>
    <row r="739" spans="16:16" ht="15.75" customHeight="1">
      <c r="P739" s="2"/>
    </row>
    <row r="740" spans="16:16" ht="15.75" customHeight="1">
      <c r="P740" s="2"/>
    </row>
    <row r="741" spans="16:16" ht="15.75" customHeight="1">
      <c r="P741" s="2"/>
    </row>
    <row r="742" spans="16:16" ht="15.75" customHeight="1">
      <c r="P742" s="2"/>
    </row>
    <row r="743" spans="16:16" ht="15.75" customHeight="1">
      <c r="P743" s="2"/>
    </row>
    <row r="744" spans="16:16" ht="15.75" customHeight="1">
      <c r="P744" s="2"/>
    </row>
    <row r="745" spans="16:16" ht="15.75" customHeight="1">
      <c r="P745" s="2"/>
    </row>
    <row r="746" spans="16:16" ht="15.75" customHeight="1">
      <c r="P746" s="2"/>
    </row>
    <row r="747" spans="16:16" ht="15.75" customHeight="1">
      <c r="P747" s="2"/>
    </row>
    <row r="748" spans="16:16" ht="15.75" customHeight="1">
      <c r="P748" s="2"/>
    </row>
    <row r="749" spans="16:16" ht="15.75" customHeight="1">
      <c r="P749" s="2"/>
    </row>
    <row r="750" spans="16:16" ht="15.75" customHeight="1">
      <c r="P750" s="2"/>
    </row>
    <row r="751" spans="16:16" ht="15.75" customHeight="1">
      <c r="P751" s="2"/>
    </row>
    <row r="752" spans="16:16" ht="15.75" customHeight="1">
      <c r="P752" s="2"/>
    </row>
    <row r="753" spans="16:16" ht="15.75" customHeight="1">
      <c r="P753" s="2"/>
    </row>
    <row r="754" spans="16:16" ht="15.75" customHeight="1">
      <c r="P754" s="2"/>
    </row>
    <row r="755" spans="16:16" ht="15.75" customHeight="1">
      <c r="P755" s="2"/>
    </row>
    <row r="756" spans="16:16" ht="15.75" customHeight="1">
      <c r="P756" s="2"/>
    </row>
    <row r="757" spans="16:16" ht="15.75" customHeight="1">
      <c r="P757" s="2"/>
    </row>
    <row r="758" spans="16:16" ht="15.75" customHeight="1">
      <c r="P758" s="2"/>
    </row>
    <row r="759" spans="16:16" ht="15.75" customHeight="1">
      <c r="P759" s="2"/>
    </row>
    <row r="760" spans="16:16" ht="15.75" customHeight="1">
      <c r="P760" s="2"/>
    </row>
    <row r="761" spans="16:16" ht="15.75" customHeight="1">
      <c r="P761" s="2"/>
    </row>
    <row r="762" spans="16:16" ht="15.75" customHeight="1">
      <c r="P762" s="2"/>
    </row>
    <row r="763" spans="16:16" ht="15.75" customHeight="1">
      <c r="P763" s="2"/>
    </row>
    <row r="764" spans="16:16" ht="15.75" customHeight="1">
      <c r="P764" s="2"/>
    </row>
    <row r="765" spans="16:16" ht="15.75" customHeight="1">
      <c r="P765" s="2"/>
    </row>
    <row r="766" spans="16:16" ht="15.75" customHeight="1">
      <c r="P766" s="2"/>
    </row>
    <row r="767" spans="16:16" ht="15.75" customHeight="1">
      <c r="P767" s="2"/>
    </row>
    <row r="768" spans="16:16" ht="15.75" customHeight="1">
      <c r="P768" s="2"/>
    </row>
    <row r="769" spans="16:16" ht="15.75" customHeight="1">
      <c r="P769" s="2"/>
    </row>
    <row r="770" spans="16:16" ht="15.75" customHeight="1">
      <c r="P770" s="2"/>
    </row>
    <row r="771" spans="16:16" ht="15.75" customHeight="1">
      <c r="P771" s="2"/>
    </row>
    <row r="772" spans="16:16" ht="15.75" customHeight="1">
      <c r="P772" s="2"/>
    </row>
    <row r="773" spans="16:16" ht="15.75" customHeight="1">
      <c r="P773" s="2"/>
    </row>
    <row r="774" spans="16:16" ht="15.75" customHeight="1">
      <c r="P774" s="2"/>
    </row>
    <row r="775" spans="16:16" ht="15.75" customHeight="1">
      <c r="P775" s="2"/>
    </row>
    <row r="776" spans="16:16" ht="15.75" customHeight="1">
      <c r="P776" s="2"/>
    </row>
    <row r="777" spans="16:16" ht="15.75" customHeight="1">
      <c r="P777" s="2"/>
    </row>
    <row r="778" spans="16:16" ht="15.75" customHeight="1">
      <c r="P778" s="2"/>
    </row>
    <row r="779" spans="16:16" ht="15.75" customHeight="1">
      <c r="P779" s="2"/>
    </row>
    <row r="780" spans="16:16" ht="15.75" customHeight="1">
      <c r="P780" s="2"/>
    </row>
    <row r="781" spans="16:16" ht="15.75" customHeight="1">
      <c r="P781" s="2"/>
    </row>
    <row r="782" spans="16:16" ht="15.75" customHeight="1">
      <c r="P782" s="2"/>
    </row>
    <row r="783" spans="16:16" ht="15.75" customHeight="1">
      <c r="P783" s="2"/>
    </row>
    <row r="784" spans="16:16" ht="15.75" customHeight="1">
      <c r="P784" s="2"/>
    </row>
    <row r="785" spans="16:16" ht="15.75" customHeight="1">
      <c r="P785" s="2"/>
    </row>
    <row r="786" spans="16:16" ht="15.75" customHeight="1">
      <c r="P786" s="2"/>
    </row>
    <row r="787" spans="16:16" ht="15.75" customHeight="1">
      <c r="P787" s="2"/>
    </row>
    <row r="788" spans="16:16" ht="15.75" customHeight="1">
      <c r="P788" s="2"/>
    </row>
    <row r="789" spans="16:16" ht="15.75" customHeight="1">
      <c r="P789" s="2"/>
    </row>
    <row r="790" spans="16:16" ht="15.75" customHeight="1">
      <c r="P790" s="2"/>
    </row>
    <row r="791" spans="16:16" ht="15.75" customHeight="1">
      <c r="P791" s="2"/>
    </row>
    <row r="792" spans="16:16" ht="15.75" customHeight="1">
      <c r="P792" s="2"/>
    </row>
    <row r="793" spans="16:16" ht="15.75" customHeight="1">
      <c r="P793" s="2"/>
    </row>
    <row r="794" spans="16:16" ht="15.75" customHeight="1">
      <c r="P794" s="2"/>
    </row>
    <row r="795" spans="16:16" ht="15.75" customHeight="1">
      <c r="P795" s="2"/>
    </row>
    <row r="796" spans="16:16" ht="15.75" customHeight="1">
      <c r="P796" s="2"/>
    </row>
    <row r="797" spans="16:16" ht="15.75" customHeight="1">
      <c r="P797" s="2"/>
    </row>
    <row r="798" spans="16:16" ht="15.75" customHeight="1">
      <c r="P798" s="2"/>
    </row>
    <row r="799" spans="16:16" ht="15.75" customHeight="1">
      <c r="P799" s="2"/>
    </row>
    <row r="800" spans="16:16" ht="15.75" customHeight="1">
      <c r="P800" s="2"/>
    </row>
    <row r="801" spans="16:16" ht="15.75" customHeight="1">
      <c r="P801" s="2"/>
    </row>
    <row r="802" spans="16:16" ht="15.75" customHeight="1">
      <c r="P802" s="2"/>
    </row>
    <row r="803" spans="16:16" ht="15.75" customHeight="1">
      <c r="P803" s="2"/>
    </row>
    <row r="804" spans="16:16" ht="15.75" customHeight="1">
      <c r="P804" s="2"/>
    </row>
    <row r="805" spans="16:16" ht="15.75" customHeight="1">
      <c r="P805" s="2"/>
    </row>
    <row r="806" spans="16:16" ht="15.75" customHeight="1">
      <c r="P806" s="2"/>
    </row>
    <row r="807" spans="16:16" ht="15.75" customHeight="1">
      <c r="P807" s="2"/>
    </row>
    <row r="808" spans="16:16" ht="15.75" customHeight="1">
      <c r="P808" s="2"/>
    </row>
    <row r="809" spans="16:16" ht="15.75" customHeight="1">
      <c r="P809" s="2"/>
    </row>
    <row r="810" spans="16:16" ht="15.75" customHeight="1">
      <c r="P810" s="2"/>
    </row>
    <row r="811" spans="16:16" ht="15.75" customHeight="1">
      <c r="P811" s="2"/>
    </row>
    <row r="812" spans="16:16" ht="15.75" customHeight="1">
      <c r="P812" s="2"/>
    </row>
    <row r="813" spans="16:16" ht="15.75" customHeight="1">
      <c r="P813" s="2"/>
    </row>
    <row r="814" spans="16:16" ht="15.75" customHeight="1">
      <c r="P814" s="2"/>
    </row>
    <row r="815" spans="16:16" ht="15.75" customHeight="1">
      <c r="P815" s="2"/>
    </row>
    <row r="816" spans="16:16" ht="15.75" customHeight="1">
      <c r="P816" s="2"/>
    </row>
    <row r="817" spans="16:16" ht="15.75" customHeight="1">
      <c r="P817" s="2"/>
    </row>
    <row r="818" spans="16:16" ht="15.75" customHeight="1">
      <c r="P818" s="2"/>
    </row>
    <row r="819" spans="16:16" ht="15.75" customHeight="1">
      <c r="P819" s="2"/>
    </row>
    <row r="820" spans="16:16" ht="15.75" customHeight="1">
      <c r="P820" s="2"/>
    </row>
    <row r="821" spans="16:16" ht="15.75" customHeight="1">
      <c r="P821" s="2"/>
    </row>
    <row r="822" spans="16:16" ht="15.75" customHeight="1">
      <c r="P822" s="2"/>
    </row>
    <row r="823" spans="16:16" ht="15.75" customHeight="1">
      <c r="P823" s="2"/>
    </row>
    <row r="824" spans="16:16" ht="15.75" customHeight="1">
      <c r="P824" s="2"/>
    </row>
    <row r="825" spans="16:16" ht="15.75" customHeight="1">
      <c r="P825" s="2"/>
    </row>
    <row r="826" spans="16:16" ht="15.75" customHeight="1">
      <c r="P826" s="2"/>
    </row>
    <row r="827" spans="16:16" ht="15.75" customHeight="1">
      <c r="P827" s="2"/>
    </row>
    <row r="828" spans="16:16" ht="15.75" customHeight="1">
      <c r="P828" s="2"/>
    </row>
    <row r="829" spans="16:16" ht="15.75" customHeight="1">
      <c r="P829" s="2"/>
    </row>
    <row r="830" spans="16:16" ht="15.75" customHeight="1">
      <c r="P830" s="2"/>
    </row>
    <row r="831" spans="16:16" ht="15.75" customHeight="1">
      <c r="P831" s="2"/>
    </row>
    <row r="832" spans="16:16" ht="15.75" customHeight="1">
      <c r="P832" s="2"/>
    </row>
    <row r="833" spans="16:16" ht="15.75" customHeight="1">
      <c r="P833" s="2"/>
    </row>
    <row r="834" spans="16:16" ht="15.75" customHeight="1">
      <c r="P834" s="2"/>
    </row>
    <row r="835" spans="16:16" ht="15.75" customHeight="1">
      <c r="P835" s="2"/>
    </row>
    <row r="836" spans="16:16" ht="15.75" customHeight="1">
      <c r="P836" s="2"/>
    </row>
    <row r="837" spans="16:16" ht="15.75" customHeight="1">
      <c r="P837" s="2"/>
    </row>
    <row r="838" spans="16:16" ht="15.75" customHeight="1">
      <c r="P838" s="2"/>
    </row>
    <row r="839" spans="16:16" ht="15.75" customHeight="1">
      <c r="P839" s="2"/>
    </row>
    <row r="840" spans="16:16" ht="15.75" customHeight="1">
      <c r="P840" s="2"/>
    </row>
    <row r="841" spans="16:16" ht="15.75" customHeight="1">
      <c r="P841" s="2"/>
    </row>
    <row r="842" spans="16:16" ht="15.75" customHeight="1">
      <c r="P842" s="2"/>
    </row>
    <row r="843" spans="16:16" ht="15.75" customHeight="1">
      <c r="P843" s="2"/>
    </row>
    <row r="844" spans="16:16" ht="15.75" customHeight="1">
      <c r="P844" s="2"/>
    </row>
    <row r="845" spans="16:16" ht="15.75" customHeight="1">
      <c r="P845" s="2"/>
    </row>
    <row r="846" spans="16:16" ht="15.75" customHeight="1">
      <c r="P846" s="2"/>
    </row>
    <row r="847" spans="16:16" ht="15.75" customHeight="1">
      <c r="P847" s="2"/>
    </row>
    <row r="848" spans="16:16" ht="15.75" customHeight="1">
      <c r="P848" s="2"/>
    </row>
    <row r="849" spans="16:16" ht="15.75" customHeight="1">
      <c r="P849" s="2"/>
    </row>
    <row r="850" spans="16:16" ht="15.75" customHeight="1">
      <c r="P850" s="2"/>
    </row>
    <row r="851" spans="16:16" ht="15.75" customHeight="1">
      <c r="P851" s="2"/>
    </row>
    <row r="852" spans="16:16" ht="15.75" customHeight="1">
      <c r="P852" s="2"/>
    </row>
    <row r="853" spans="16:16" ht="15.75" customHeight="1">
      <c r="P853" s="2"/>
    </row>
    <row r="854" spans="16:16" ht="15.75" customHeight="1">
      <c r="P854" s="2"/>
    </row>
    <row r="855" spans="16:16" ht="15.75" customHeight="1">
      <c r="P855" s="2"/>
    </row>
    <row r="856" spans="16:16" ht="15.75" customHeight="1">
      <c r="P856" s="2"/>
    </row>
    <row r="857" spans="16:16" ht="15.75" customHeight="1">
      <c r="P857" s="2"/>
    </row>
    <row r="858" spans="16:16" ht="15.75" customHeight="1">
      <c r="P858" s="2"/>
    </row>
    <row r="859" spans="16:16" ht="15.75" customHeight="1">
      <c r="P859" s="2"/>
    </row>
    <row r="860" spans="16:16" ht="15.75" customHeight="1">
      <c r="P860" s="2"/>
    </row>
    <row r="861" spans="16:16" ht="15.75" customHeight="1">
      <c r="P861" s="2"/>
    </row>
    <row r="862" spans="16:16" ht="15.75" customHeight="1">
      <c r="P862" s="2"/>
    </row>
    <row r="863" spans="16:16" ht="15.75" customHeight="1">
      <c r="P863" s="2"/>
    </row>
    <row r="864" spans="16:16" ht="15.75" customHeight="1">
      <c r="P864" s="2"/>
    </row>
    <row r="865" spans="16:16" ht="15.75" customHeight="1">
      <c r="P865" s="2"/>
    </row>
    <row r="866" spans="16:16" ht="15.75" customHeight="1">
      <c r="P866" s="2"/>
    </row>
    <row r="867" spans="16:16" ht="15.75" customHeight="1">
      <c r="P867" s="2"/>
    </row>
    <row r="868" spans="16:16" ht="15.75" customHeight="1">
      <c r="P868" s="2"/>
    </row>
    <row r="869" spans="16:16" ht="15.75" customHeight="1">
      <c r="P869" s="2"/>
    </row>
    <row r="870" spans="16:16" ht="15.75" customHeight="1">
      <c r="P870" s="2"/>
    </row>
    <row r="871" spans="16:16" ht="15.75" customHeight="1">
      <c r="P871" s="2"/>
    </row>
    <row r="872" spans="16:16" ht="15.75" customHeight="1">
      <c r="P872" s="2"/>
    </row>
    <row r="873" spans="16:16" ht="15.75" customHeight="1">
      <c r="P873" s="2"/>
    </row>
    <row r="874" spans="16:16" ht="15.75" customHeight="1">
      <c r="P874" s="2"/>
    </row>
    <row r="875" spans="16:16" ht="15.75" customHeight="1">
      <c r="P875" s="2"/>
    </row>
    <row r="876" spans="16:16" ht="15.75" customHeight="1">
      <c r="P876" s="2"/>
    </row>
    <row r="877" spans="16:16" ht="15.75" customHeight="1">
      <c r="P877" s="2"/>
    </row>
    <row r="878" spans="16:16" ht="15.75" customHeight="1">
      <c r="P878" s="2"/>
    </row>
    <row r="879" spans="16:16" ht="15.75" customHeight="1">
      <c r="P879" s="2"/>
    </row>
    <row r="880" spans="16:16" ht="15.75" customHeight="1">
      <c r="P880" s="2"/>
    </row>
    <row r="881" spans="16:16" ht="15.75" customHeight="1">
      <c r="P881" s="2"/>
    </row>
    <row r="882" spans="16:16" ht="15.75" customHeight="1">
      <c r="P882" s="2"/>
    </row>
    <row r="883" spans="16:16" ht="15.75" customHeight="1">
      <c r="P883" s="2"/>
    </row>
    <row r="884" spans="16:16" ht="15.75" customHeight="1">
      <c r="P884" s="2"/>
    </row>
    <row r="885" spans="16:16" ht="15.75" customHeight="1">
      <c r="P885" s="2"/>
    </row>
    <row r="886" spans="16:16" ht="15.75" customHeight="1">
      <c r="P886" s="2"/>
    </row>
    <row r="887" spans="16:16" ht="15.75" customHeight="1">
      <c r="P887" s="2"/>
    </row>
    <row r="888" spans="16:16" ht="15.75" customHeight="1">
      <c r="P888" s="2"/>
    </row>
    <row r="889" spans="16:16" ht="15.75" customHeight="1">
      <c r="P889" s="2"/>
    </row>
    <row r="890" spans="16:16" ht="15.75" customHeight="1">
      <c r="P890" s="2"/>
    </row>
    <row r="891" spans="16:16" ht="15.75" customHeight="1">
      <c r="P891" s="2"/>
    </row>
    <row r="892" spans="16:16" ht="15.75" customHeight="1">
      <c r="P892" s="2"/>
    </row>
    <row r="893" spans="16:16" ht="15.75" customHeight="1">
      <c r="P893" s="2"/>
    </row>
    <row r="894" spans="16:16" ht="15.75" customHeight="1">
      <c r="P894" s="2"/>
    </row>
    <row r="895" spans="16:16" ht="15.75" customHeight="1">
      <c r="P895" s="2"/>
    </row>
    <row r="896" spans="16:16" ht="15.75" customHeight="1">
      <c r="P896" s="2"/>
    </row>
    <row r="897" spans="16:16" ht="15.75" customHeight="1">
      <c r="P897" s="2"/>
    </row>
    <row r="898" spans="16:16" ht="15.75" customHeight="1">
      <c r="P898" s="2"/>
    </row>
    <row r="899" spans="16:16" ht="15.75" customHeight="1">
      <c r="P899" s="2"/>
    </row>
    <row r="900" spans="16:16" ht="15.75" customHeight="1">
      <c r="P900" s="2"/>
    </row>
    <row r="901" spans="16:16" ht="15.75" customHeight="1">
      <c r="P901" s="2"/>
    </row>
    <row r="902" spans="16:16" ht="15.75" customHeight="1">
      <c r="P902" s="2"/>
    </row>
    <row r="903" spans="16:16" ht="15.75" customHeight="1">
      <c r="P903" s="2"/>
    </row>
    <row r="904" spans="16:16" ht="15.75" customHeight="1">
      <c r="P904" s="2"/>
    </row>
    <row r="905" spans="16:16" ht="15.75" customHeight="1">
      <c r="P905" s="2"/>
    </row>
    <row r="906" spans="16:16" ht="15.75" customHeight="1">
      <c r="P906" s="2"/>
    </row>
    <row r="907" spans="16:16" ht="15.75" customHeight="1">
      <c r="P907" s="2"/>
    </row>
    <row r="908" spans="16:16" ht="15.75" customHeight="1">
      <c r="P908" s="2"/>
    </row>
    <row r="909" spans="16:16" ht="15.75" customHeight="1">
      <c r="P909" s="2"/>
    </row>
    <row r="910" spans="16:16" ht="15.75" customHeight="1">
      <c r="P910" s="2"/>
    </row>
    <row r="911" spans="16:16" ht="15.75" customHeight="1">
      <c r="P911" s="2"/>
    </row>
    <row r="912" spans="16:16" ht="15.75" customHeight="1">
      <c r="P912" s="2"/>
    </row>
    <row r="913" spans="16:16" ht="15.75" customHeight="1">
      <c r="P913" s="2"/>
    </row>
    <row r="914" spans="16:16" ht="15.75" customHeight="1">
      <c r="P914" s="2"/>
    </row>
    <row r="915" spans="16:16" ht="15.75" customHeight="1">
      <c r="P915" s="2"/>
    </row>
    <row r="916" spans="16:16" ht="15.75" customHeight="1">
      <c r="P916" s="2"/>
    </row>
    <row r="917" spans="16:16" ht="15.75" customHeight="1">
      <c r="P917" s="2"/>
    </row>
    <row r="918" spans="16:16" ht="15.75" customHeight="1">
      <c r="P918" s="2"/>
    </row>
    <row r="919" spans="16:16" ht="15.75" customHeight="1">
      <c r="P919" s="2"/>
    </row>
    <row r="920" spans="16:16" ht="15.75" customHeight="1">
      <c r="P920" s="2"/>
    </row>
    <row r="921" spans="16:16" ht="15.75" customHeight="1">
      <c r="P921" s="2"/>
    </row>
    <row r="922" spans="16:16" ht="15.75" customHeight="1">
      <c r="P922" s="2"/>
    </row>
    <row r="923" spans="16:16" ht="15.75" customHeight="1">
      <c r="P923" s="2"/>
    </row>
    <row r="924" spans="16:16" ht="15.75" customHeight="1">
      <c r="P924" s="2"/>
    </row>
    <row r="925" spans="16:16" ht="15.75" customHeight="1">
      <c r="P925" s="2"/>
    </row>
    <row r="926" spans="16:16" ht="15.75" customHeight="1">
      <c r="P926" s="2"/>
    </row>
    <row r="927" spans="16:16" ht="15.75" customHeight="1">
      <c r="P927" s="2"/>
    </row>
    <row r="928" spans="16:16" ht="15.75" customHeight="1">
      <c r="P928" s="2"/>
    </row>
    <row r="929" spans="16:16" ht="15.75" customHeight="1">
      <c r="P929" s="2"/>
    </row>
    <row r="930" spans="16:16" ht="15.75" customHeight="1">
      <c r="P930" s="2"/>
    </row>
    <row r="931" spans="16:16" ht="15.75" customHeight="1">
      <c r="P931" s="2"/>
    </row>
    <row r="932" spans="16:16" ht="15.75" customHeight="1">
      <c r="P932" s="2"/>
    </row>
    <row r="933" spans="16:16" ht="15.75" customHeight="1">
      <c r="P933" s="2"/>
    </row>
    <row r="934" spans="16:16" ht="15.75" customHeight="1">
      <c r="P934" s="2"/>
    </row>
    <row r="935" spans="16:16" ht="15.75" customHeight="1">
      <c r="P935" s="2"/>
    </row>
    <row r="936" spans="16:16" ht="15.75" customHeight="1">
      <c r="P936" s="2"/>
    </row>
    <row r="937" spans="16:16" ht="15.75" customHeight="1">
      <c r="P937" s="2"/>
    </row>
    <row r="938" spans="16:16" ht="15.75" customHeight="1">
      <c r="P938" s="2"/>
    </row>
    <row r="939" spans="16:16" ht="15.75" customHeight="1">
      <c r="P939" s="2"/>
    </row>
    <row r="940" spans="16:16" ht="15.75" customHeight="1">
      <c r="P940" s="2"/>
    </row>
    <row r="941" spans="16:16" ht="15.75" customHeight="1">
      <c r="P941" s="2"/>
    </row>
    <row r="942" spans="16:16" ht="15.75" customHeight="1">
      <c r="P942" s="2"/>
    </row>
    <row r="943" spans="16:16" ht="15.75" customHeight="1">
      <c r="P943" s="2"/>
    </row>
    <row r="944" spans="16:16" ht="15.75" customHeight="1">
      <c r="P944" s="2"/>
    </row>
    <row r="945" spans="16:16" ht="15.75" customHeight="1">
      <c r="P945" s="2"/>
    </row>
    <row r="946" spans="16:16" ht="15.75" customHeight="1">
      <c r="P946" s="2"/>
    </row>
    <row r="947" spans="16:16" ht="15.75" customHeight="1">
      <c r="P947" s="2"/>
    </row>
    <row r="948" spans="16:16" ht="15.75" customHeight="1">
      <c r="P948" s="2"/>
    </row>
    <row r="949" spans="16:16" ht="15.75" customHeight="1">
      <c r="P949" s="2"/>
    </row>
    <row r="950" spans="16:16" ht="15.75" customHeight="1">
      <c r="P950" s="2"/>
    </row>
    <row r="951" spans="16:16" ht="15.75" customHeight="1">
      <c r="P951" s="2"/>
    </row>
    <row r="952" spans="16:16" ht="15.75" customHeight="1">
      <c r="P952" s="2"/>
    </row>
    <row r="953" spans="16:16" ht="15.75" customHeight="1">
      <c r="P953" s="2"/>
    </row>
    <row r="954" spans="16:16" ht="15.75" customHeight="1">
      <c r="P954" s="2"/>
    </row>
    <row r="955" spans="16:16" ht="15.75" customHeight="1">
      <c r="P955" s="2"/>
    </row>
    <row r="956" spans="16:16" ht="15.75" customHeight="1">
      <c r="P956" s="2"/>
    </row>
    <row r="957" spans="16:16" ht="15.75" customHeight="1">
      <c r="P957" s="2"/>
    </row>
    <row r="958" spans="16:16" ht="15.75" customHeight="1">
      <c r="P958" s="2"/>
    </row>
    <row r="959" spans="16:16" ht="15.75" customHeight="1">
      <c r="P959" s="2"/>
    </row>
    <row r="960" spans="16:16" ht="15.75" customHeight="1">
      <c r="P960" s="2"/>
    </row>
    <row r="961" spans="16:16" ht="15.75" customHeight="1">
      <c r="P961" s="2"/>
    </row>
    <row r="962" spans="16:16" ht="15.75" customHeight="1">
      <c r="P962" s="2"/>
    </row>
    <row r="963" spans="16:16" ht="15.75" customHeight="1">
      <c r="P963" s="2"/>
    </row>
    <row r="964" spans="16:16" ht="15.75" customHeight="1">
      <c r="P964" s="2"/>
    </row>
    <row r="965" spans="16:16" ht="15.75" customHeight="1">
      <c r="P965" s="2"/>
    </row>
    <row r="966" spans="16:16" ht="15.75" customHeight="1">
      <c r="P966" s="2"/>
    </row>
    <row r="967" spans="16:16" ht="15.75" customHeight="1">
      <c r="P967" s="2"/>
    </row>
    <row r="968" spans="16:16" ht="15.75" customHeight="1">
      <c r="P968" s="2"/>
    </row>
    <row r="969" spans="16:16" ht="15.75" customHeight="1">
      <c r="P969" s="2"/>
    </row>
    <row r="970" spans="16:16" ht="15.75" customHeight="1">
      <c r="P970" s="2"/>
    </row>
    <row r="971" spans="16:16" ht="15.75" customHeight="1">
      <c r="P971" s="2"/>
    </row>
    <row r="972" spans="16:16" ht="15.75" customHeight="1">
      <c r="P972" s="2"/>
    </row>
    <row r="973" spans="16:16" ht="15.75" customHeight="1">
      <c r="P973" s="2"/>
    </row>
    <row r="974" spans="16:16" ht="15.75" customHeight="1">
      <c r="P974" s="2"/>
    </row>
    <row r="975" spans="16:16" ht="15.75" customHeight="1">
      <c r="P975" s="2"/>
    </row>
    <row r="976" spans="16:16" ht="15.75" customHeight="1">
      <c r="P976" s="2"/>
    </row>
    <row r="977" spans="16:16" ht="15.75" customHeight="1">
      <c r="P977" s="2"/>
    </row>
    <row r="978" spans="16:16" ht="15.75" customHeight="1">
      <c r="P978" s="2"/>
    </row>
    <row r="979" spans="16:16" ht="15.75" customHeight="1">
      <c r="P979" s="2"/>
    </row>
    <row r="980" spans="16:16" ht="15.75" customHeight="1">
      <c r="P980" s="2"/>
    </row>
    <row r="981" spans="16:16" ht="15.75" customHeight="1">
      <c r="P981" s="2"/>
    </row>
    <row r="982" spans="16:16" ht="15.75" customHeight="1">
      <c r="P982" s="2"/>
    </row>
    <row r="983" spans="16:16" ht="15.75" customHeight="1">
      <c r="P983" s="2"/>
    </row>
    <row r="984" spans="16:16" ht="15.75" customHeight="1">
      <c r="P984" s="2"/>
    </row>
    <row r="985" spans="16:16" ht="15.75" customHeight="1">
      <c r="P985" s="2"/>
    </row>
    <row r="986" spans="16:16" ht="15.75" customHeight="1">
      <c r="P986" s="2"/>
    </row>
    <row r="987" spans="16:16" ht="15.75" customHeight="1">
      <c r="P987" s="2"/>
    </row>
    <row r="988" spans="16:16" ht="15.75" customHeight="1">
      <c r="P988" s="2"/>
    </row>
    <row r="989" spans="16:16" ht="15.75" customHeight="1">
      <c r="P989" s="2"/>
    </row>
    <row r="990" spans="16:16" ht="15.75" customHeight="1">
      <c r="P990" s="2"/>
    </row>
    <row r="991" spans="16:16" ht="15.75" customHeight="1">
      <c r="P991" s="2"/>
    </row>
    <row r="992" spans="16:16" ht="15.75" customHeight="1">
      <c r="P992" s="2"/>
    </row>
    <row r="993" spans="16:16" ht="15.75" customHeight="1">
      <c r="P993" s="2"/>
    </row>
    <row r="994" spans="16:16" ht="15.75" customHeight="1">
      <c r="P994" s="2"/>
    </row>
    <row r="995" spans="16:16" ht="15.75" customHeight="1">
      <c r="P995" s="2"/>
    </row>
    <row r="996" spans="16:16" ht="15.75" customHeight="1">
      <c r="P996" s="2"/>
    </row>
    <row r="997" spans="16:16" ht="15.75" customHeight="1">
      <c r="P997" s="2"/>
    </row>
    <row r="998" spans="16:16" ht="15.75" customHeight="1">
      <c r="P998" s="2"/>
    </row>
    <row r="999" spans="16:16" ht="15.75" customHeight="1">
      <c r="P999" s="2"/>
    </row>
    <row r="1000" spans="16:16" ht="15" customHeight="1">
      <c r="P1000" s="2"/>
    </row>
  </sheetData>
  <sheetProtection algorithmName="SHA-512" hashValue="Wfne0aQQ66GUQmbAHuHnrj40PiPANy3zWcMTAh++GZFO7iAsTJMFmW/vN7y/zAEi2c7VDaq9Jxe2nKA/U2hbEg==" saltValue="EE/JmZMmQQExxNG9plgC1w==" spinCount="100000" sheet="1" objects="1" scenarios="1"/>
  <mergeCells count="19">
    <mergeCell ref="T1:U1"/>
    <mergeCell ref="B1:C1"/>
    <mergeCell ref="M5:N8"/>
    <mergeCell ref="N9:N11"/>
    <mergeCell ref="M9:M11"/>
    <mergeCell ref="B57:B77"/>
    <mergeCell ref="D9:D11"/>
    <mergeCell ref="D5:F8"/>
    <mergeCell ref="G5:L5"/>
    <mergeCell ref="G6:L7"/>
    <mergeCell ref="I9:I11"/>
    <mergeCell ref="J9:J11"/>
    <mergeCell ref="K9:K11"/>
    <mergeCell ref="L9:L11"/>
    <mergeCell ref="E9:E11"/>
    <mergeCell ref="F9:F11"/>
    <mergeCell ref="G9:G11"/>
    <mergeCell ref="H9:H11"/>
    <mergeCell ref="B5:B40"/>
  </mergeCells>
  <hyperlinks>
    <hyperlink ref="P19" r:id="rId1" xr:uid="{00000000-0004-0000-0100-000000000000}"/>
    <hyperlink ref="P22" r:id="rId2" xr:uid="{641DD740-2EEE-4929-8A76-0563B4636BFA}"/>
    <hyperlink ref="P23" r:id="rId3" xr:uid="{A2448807-321B-4376-A656-A50163072138}"/>
  </hyperlinks>
  <pageMargins left="0.7" right="0.7" top="0.75" bottom="0.75" header="0" footer="0"/>
  <pageSetup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I1003"/>
  <sheetViews>
    <sheetView workbookViewId="0">
      <pane ySplit="3" topLeftCell="A9" activePane="bottomLeft" state="frozen"/>
      <selection pane="bottomLeft" activeCell="E27" sqref="E27"/>
    </sheetView>
  </sheetViews>
  <sheetFormatPr defaultColWidth="14.42578125" defaultRowHeight="15" customHeight="1"/>
  <cols>
    <col min="1" max="1" width="4.140625" customWidth="1"/>
    <col min="2" max="2" width="29.7109375" customWidth="1"/>
    <col min="3" max="3" width="3.5703125" customWidth="1"/>
    <col min="4" max="4" width="55.42578125" customWidth="1"/>
    <col min="5" max="5" width="19" customWidth="1"/>
    <col min="6" max="6" width="12.5703125" customWidth="1"/>
    <col min="7" max="7" width="14" customWidth="1"/>
    <col min="8" max="8" width="3.28515625" customWidth="1"/>
    <col min="9" max="9" width="20.85546875" customWidth="1"/>
    <col min="10" max="10" width="23" customWidth="1"/>
    <col min="11" max="11" width="3.5703125" customWidth="1"/>
    <col min="12" max="12" width="32.85546875" customWidth="1"/>
    <col min="13" max="13" width="6.28515625" customWidth="1"/>
    <col min="14" max="14" width="13.42578125" customWidth="1"/>
    <col min="15" max="15" width="23" customWidth="1"/>
    <col min="16" max="16" width="8.7109375" customWidth="1"/>
  </cols>
  <sheetData>
    <row r="1" spans="1:35" ht="42.75" customHeight="1">
      <c r="A1" s="1"/>
      <c r="B1" s="715" t="s">
        <v>1</v>
      </c>
      <c r="C1" s="716"/>
      <c r="D1" s="717"/>
      <c r="E1" s="798"/>
      <c r="F1" s="716"/>
      <c r="G1" s="716"/>
      <c r="H1" s="716"/>
      <c r="I1" s="716"/>
      <c r="J1" s="716"/>
      <c r="K1" s="716"/>
      <c r="L1" s="716"/>
      <c r="M1" s="716"/>
      <c r="N1" s="716"/>
      <c r="O1" s="717"/>
      <c r="P1" s="5"/>
      <c r="Q1" s="3"/>
      <c r="R1" s="3"/>
      <c r="S1" s="3"/>
      <c r="T1" s="3"/>
      <c r="U1" s="3"/>
      <c r="V1" s="3"/>
      <c r="W1" s="3"/>
      <c r="X1" s="3"/>
      <c r="Y1" s="3"/>
      <c r="Z1" s="3"/>
      <c r="AA1" s="3"/>
      <c r="AB1" s="3"/>
      <c r="AC1" s="3"/>
      <c r="AD1" s="3"/>
      <c r="AE1" s="3"/>
      <c r="AF1" s="3"/>
      <c r="AG1" s="3"/>
      <c r="AH1" s="3"/>
      <c r="AI1" s="3"/>
    </row>
    <row r="2" spans="1:3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row>
    <row r="3" spans="1:35">
      <c r="A3" s="9"/>
      <c r="B3" s="15" t="s">
        <v>5</v>
      </c>
      <c r="C3" s="9"/>
      <c r="D3" s="15" t="s">
        <v>8</v>
      </c>
      <c r="E3" s="9"/>
      <c r="F3" s="9"/>
      <c r="G3" s="9"/>
      <c r="H3" s="9"/>
      <c r="I3" s="15" t="s">
        <v>9</v>
      </c>
      <c r="J3" s="9"/>
      <c r="K3" s="9"/>
      <c r="L3" s="15" t="s">
        <v>10</v>
      </c>
      <c r="M3" s="9"/>
      <c r="N3" s="9"/>
      <c r="O3" s="9"/>
      <c r="P3" s="9"/>
      <c r="Q3" s="3"/>
      <c r="R3" s="3"/>
      <c r="S3" s="3"/>
      <c r="T3" s="3"/>
      <c r="U3" s="3"/>
      <c r="V3" s="3"/>
      <c r="W3" s="3"/>
      <c r="X3" s="3"/>
      <c r="Y3" s="3"/>
      <c r="Z3" s="3"/>
      <c r="AA3" s="3"/>
      <c r="AB3" s="3"/>
      <c r="AC3" s="3"/>
      <c r="AD3" s="3"/>
      <c r="AE3" s="3"/>
      <c r="AF3" s="3"/>
      <c r="AG3" s="3"/>
      <c r="AH3" s="3"/>
      <c r="AI3" s="3"/>
    </row>
    <row r="4" spans="1:35">
      <c r="A4" s="3"/>
      <c r="B4" s="799" t="s">
        <v>11</v>
      </c>
      <c r="C4" s="3"/>
      <c r="D4" s="17" t="s">
        <v>12</v>
      </c>
      <c r="E4" s="17"/>
      <c r="F4" s="17"/>
      <c r="G4" s="17"/>
      <c r="H4" s="3"/>
      <c r="I4" s="18" t="s">
        <v>13</v>
      </c>
      <c r="J4" s="19" t="s">
        <v>14</v>
      </c>
      <c r="K4" s="20"/>
      <c r="L4" s="22" t="str">
        <f>HYPERLINK("https://www.walkscore.com/methodology.shtml","Walk Score Methodology")</f>
        <v>Walk Score Methodology</v>
      </c>
      <c r="M4" s="19"/>
      <c r="N4" s="19"/>
      <c r="O4" s="19"/>
      <c r="P4" s="3"/>
      <c r="Q4" s="3"/>
      <c r="R4" s="3"/>
      <c r="S4" s="3"/>
      <c r="T4" s="3"/>
      <c r="U4" s="3"/>
      <c r="V4" s="3"/>
      <c r="W4" s="3"/>
      <c r="X4" s="3"/>
      <c r="Y4" s="3"/>
      <c r="Z4" s="3"/>
      <c r="AA4" s="3"/>
      <c r="AB4" s="3"/>
      <c r="AC4" s="3"/>
      <c r="AD4" s="3"/>
      <c r="AE4" s="3"/>
      <c r="AF4" s="3"/>
      <c r="AG4" s="3"/>
      <c r="AH4" s="3"/>
      <c r="AI4" s="3"/>
    </row>
    <row r="5" spans="1:35">
      <c r="A5" s="3"/>
      <c r="B5" s="800"/>
      <c r="C5" s="3"/>
      <c r="D5" s="23"/>
      <c r="E5" s="23"/>
      <c r="F5" s="23"/>
      <c r="G5" s="23"/>
      <c r="H5" s="3"/>
      <c r="I5" s="18" t="s">
        <v>16</v>
      </c>
      <c r="J5" s="19" t="s">
        <v>17</v>
      </c>
      <c r="K5" s="20"/>
      <c r="L5" s="19"/>
      <c r="M5" s="19"/>
      <c r="N5" s="19"/>
      <c r="O5" s="19"/>
      <c r="P5" s="3"/>
      <c r="Q5" s="3"/>
      <c r="R5" s="3"/>
      <c r="S5" s="3"/>
      <c r="T5" s="3"/>
      <c r="U5" s="3"/>
      <c r="V5" s="3"/>
      <c r="W5" s="3"/>
      <c r="X5" s="3"/>
      <c r="Y5" s="3"/>
      <c r="Z5" s="3"/>
      <c r="AA5" s="3"/>
      <c r="AB5" s="3"/>
      <c r="AC5" s="3"/>
      <c r="AD5" s="3"/>
      <c r="AE5" s="3"/>
      <c r="AF5" s="3"/>
      <c r="AG5" s="3"/>
      <c r="AH5" s="3"/>
      <c r="AI5" s="3"/>
    </row>
    <row r="6" spans="1:35">
      <c r="A6" s="3"/>
      <c r="B6" s="800"/>
      <c r="C6" s="3"/>
      <c r="D6" s="24" t="s">
        <v>18</v>
      </c>
      <c r="E6" s="333">
        <v>50</v>
      </c>
      <c r="F6" s="23"/>
      <c r="G6" s="23"/>
      <c r="H6" s="3"/>
      <c r="I6" s="18" t="s">
        <v>19</v>
      </c>
      <c r="J6" s="19" t="s">
        <v>20</v>
      </c>
      <c r="K6" s="20"/>
      <c r="L6" s="19"/>
      <c r="M6" s="19"/>
      <c r="N6" s="19"/>
      <c r="O6" s="19"/>
      <c r="P6" s="3"/>
      <c r="Q6" s="3"/>
      <c r="R6" s="3"/>
      <c r="S6" s="3"/>
      <c r="T6" s="3"/>
      <c r="U6" s="3"/>
      <c r="V6" s="3"/>
      <c r="W6" s="3"/>
      <c r="X6" s="3"/>
      <c r="Y6" s="3"/>
      <c r="Z6" s="3"/>
      <c r="AA6" s="3"/>
      <c r="AB6" s="3"/>
      <c r="AC6" s="3"/>
      <c r="AD6" s="3"/>
      <c r="AE6" s="3"/>
      <c r="AF6" s="3"/>
      <c r="AG6" s="3"/>
      <c r="AH6" s="3"/>
      <c r="AI6" s="3"/>
    </row>
    <row r="7" spans="1:35">
      <c r="A7" s="3"/>
      <c r="B7" s="800"/>
      <c r="C7" s="3"/>
      <c r="D7" s="23"/>
      <c r="E7" s="23"/>
      <c r="F7" s="23"/>
      <c r="G7" s="23"/>
      <c r="H7" s="3"/>
      <c r="I7" s="18" t="s">
        <v>21</v>
      </c>
      <c r="J7" s="19" t="s">
        <v>22</v>
      </c>
      <c r="K7" s="20"/>
      <c r="L7" s="19"/>
      <c r="M7" s="19"/>
      <c r="N7" s="19"/>
      <c r="O7" s="19"/>
      <c r="P7" s="3"/>
      <c r="Q7" s="3"/>
      <c r="R7" s="3"/>
      <c r="S7" s="3"/>
      <c r="T7" s="3"/>
      <c r="U7" s="3"/>
      <c r="V7" s="3"/>
      <c r="W7" s="3"/>
      <c r="X7" s="3"/>
      <c r="Y7" s="3"/>
      <c r="Z7" s="3"/>
      <c r="AA7" s="3"/>
      <c r="AB7" s="3"/>
      <c r="AC7" s="3"/>
      <c r="AD7" s="3"/>
      <c r="AE7" s="3"/>
      <c r="AF7" s="3"/>
      <c r="AG7" s="3"/>
      <c r="AH7" s="3"/>
      <c r="AI7" s="3"/>
    </row>
    <row r="8" spans="1:35">
      <c r="A8" s="3"/>
      <c r="B8" s="801"/>
      <c r="C8" s="3"/>
      <c r="D8" s="23"/>
      <c r="E8" s="23"/>
      <c r="F8" s="23"/>
      <c r="G8" s="23"/>
      <c r="H8" s="3"/>
      <c r="I8" s="18" t="s">
        <v>30</v>
      </c>
      <c r="J8" s="19" t="s">
        <v>31</v>
      </c>
      <c r="K8" s="20"/>
      <c r="L8" s="19"/>
      <c r="M8" s="19"/>
      <c r="N8" s="19"/>
      <c r="O8" s="19"/>
      <c r="P8" s="3"/>
      <c r="Q8" s="3"/>
      <c r="R8" s="3"/>
      <c r="S8" s="3"/>
      <c r="T8" s="3"/>
      <c r="U8" s="3"/>
      <c r="V8" s="3"/>
      <c r="W8" s="3"/>
      <c r="X8" s="3"/>
      <c r="Y8" s="3"/>
      <c r="Z8" s="3"/>
      <c r="AA8" s="3"/>
      <c r="AB8" s="3"/>
      <c r="AC8" s="3"/>
      <c r="AD8" s="3"/>
      <c r="AE8" s="3"/>
      <c r="AF8" s="3"/>
      <c r="AG8" s="3"/>
      <c r="AH8" s="3"/>
      <c r="AI8" s="3"/>
    </row>
    <row r="9" spans="1:35">
      <c r="A9" s="3"/>
      <c r="B9" s="20"/>
      <c r="C9" s="3"/>
      <c r="D9" s="3"/>
      <c r="E9" s="3"/>
      <c r="F9" s="3"/>
      <c r="G9" s="3"/>
      <c r="H9" s="3"/>
      <c r="I9" s="20"/>
      <c r="J9" s="20"/>
      <c r="K9" s="20"/>
      <c r="L9" s="20"/>
      <c r="M9" s="20"/>
      <c r="N9" s="20"/>
      <c r="O9" s="20"/>
      <c r="P9" s="3"/>
      <c r="Q9" s="3"/>
      <c r="R9" s="3"/>
      <c r="S9" s="3"/>
      <c r="T9" s="3"/>
      <c r="U9" s="3"/>
      <c r="V9" s="3"/>
      <c r="W9" s="3"/>
      <c r="X9" s="3"/>
      <c r="Y9" s="3"/>
      <c r="Z9" s="3"/>
      <c r="AA9" s="3"/>
      <c r="AB9" s="3"/>
      <c r="AC9" s="3"/>
      <c r="AD9" s="3"/>
      <c r="AE9" s="3"/>
      <c r="AF9" s="3"/>
      <c r="AG9" s="3"/>
      <c r="AH9" s="3"/>
      <c r="AI9" s="3"/>
    </row>
    <row r="10" spans="1:35">
      <c r="A10" s="3"/>
      <c r="B10" s="799" t="s">
        <v>32</v>
      </c>
      <c r="C10" s="3"/>
      <c r="D10" s="26" t="s">
        <v>34</v>
      </c>
      <c r="E10" s="26"/>
      <c r="F10" s="26"/>
      <c r="G10" s="26"/>
      <c r="H10" s="3"/>
      <c r="I10" s="19" t="s">
        <v>35</v>
      </c>
      <c r="J10" s="19" t="s">
        <v>36</v>
      </c>
      <c r="K10" s="20"/>
      <c r="L10" s="22" t="str">
        <f>HYPERLINK("https://lithgow-schmidt.dk/sherry-arnstein/ladder-of-citizen-participation.html","Arnstein's Ladder of Citizen Participation")</f>
        <v>Arnstein's Ladder of Citizen Participation</v>
      </c>
      <c r="M10" s="19"/>
      <c r="N10" s="19"/>
      <c r="O10" s="19"/>
      <c r="P10" s="3"/>
      <c r="Q10" s="3"/>
      <c r="R10" s="3"/>
      <c r="S10" s="3"/>
      <c r="T10" s="3"/>
      <c r="U10" s="3"/>
      <c r="V10" s="3"/>
      <c r="W10" s="3"/>
      <c r="X10" s="3"/>
      <c r="Y10" s="3"/>
      <c r="Z10" s="3"/>
      <c r="AA10" s="3"/>
      <c r="AB10" s="3"/>
      <c r="AC10" s="3"/>
      <c r="AD10" s="3"/>
      <c r="AE10" s="3"/>
      <c r="AF10" s="3"/>
      <c r="AG10" s="3"/>
      <c r="AH10" s="3"/>
      <c r="AI10" s="3"/>
    </row>
    <row r="11" spans="1:35">
      <c r="A11" s="3"/>
      <c r="B11" s="800"/>
      <c r="C11" s="3"/>
      <c r="D11" s="28"/>
      <c r="E11" s="28"/>
      <c r="F11" s="28"/>
      <c r="G11" s="28"/>
      <c r="H11" s="3"/>
      <c r="I11" s="19" t="s">
        <v>41</v>
      </c>
      <c r="J11" s="19" t="s">
        <v>42</v>
      </c>
      <c r="K11" s="20"/>
      <c r="L11" s="19"/>
      <c r="M11" s="19"/>
      <c r="N11" s="19"/>
      <c r="O11" s="19"/>
      <c r="P11" s="3"/>
      <c r="Q11" s="3"/>
      <c r="R11" s="3"/>
      <c r="S11" s="3"/>
      <c r="T11" s="3"/>
      <c r="U11" s="3"/>
      <c r="V11" s="3"/>
      <c r="W11" s="3"/>
      <c r="X11" s="3"/>
      <c r="Y11" s="3"/>
      <c r="Z11" s="3"/>
      <c r="AA11" s="3"/>
      <c r="AB11" s="3"/>
      <c r="AC11" s="3"/>
      <c r="AD11" s="3"/>
      <c r="AE11" s="3"/>
      <c r="AF11" s="3"/>
      <c r="AG11" s="3"/>
      <c r="AH11" s="3"/>
      <c r="AI11" s="3"/>
    </row>
    <row r="12" spans="1:35">
      <c r="A12" s="3"/>
      <c r="B12" s="800"/>
      <c r="C12" s="3"/>
      <c r="D12" s="27" t="s">
        <v>43</v>
      </c>
      <c r="E12" s="334" t="s">
        <v>46</v>
      </c>
      <c r="F12" s="28"/>
      <c r="G12" s="28"/>
      <c r="H12" s="3"/>
      <c r="I12" s="19" t="s">
        <v>47</v>
      </c>
      <c r="J12" s="19" t="s">
        <v>48</v>
      </c>
      <c r="K12" s="20"/>
      <c r="L12" s="19"/>
      <c r="M12" s="19"/>
      <c r="N12" s="19"/>
      <c r="O12" s="19"/>
      <c r="P12" s="3"/>
      <c r="Q12" s="3"/>
      <c r="R12" s="3"/>
      <c r="S12" s="3"/>
      <c r="T12" s="3"/>
      <c r="U12" s="3"/>
      <c r="V12" s="3"/>
      <c r="W12" s="3"/>
      <c r="X12" s="3"/>
      <c r="Y12" s="3"/>
      <c r="Z12" s="3"/>
      <c r="AA12" s="3"/>
      <c r="AB12" s="3"/>
      <c r="AC12" s="3"/>
      <c r="AD12" s="3"/>
      <c r="AE12" s="3"/>
      <c r="AF12" s="3"/>
      <c r="AG12" s="3"/>
      <c r="AH12" s="3"/>
      <c r="AI12" s="3"/>
    </row>
    <row r="13" spans="1:35">
      <c r="A13" s="3"/>
      <c r="B13" s="800"/>
      <c r="C13" s="3"/>
      <c r="D13" s="27"/>
      <c r="E13" s="28"/>
      <c r="F13" s="28"/>
      <c r="G13" s="28"/>
      <c r="H13" s="3"/>
      <c r="I13" s="19" t="s">
        <v>49</v>
      </c>
      <c r="J13" s="19" t="s">
        <v>50</v>
      </c>
      <c r="K13" s="20"/>
      <c r="L13" s="19"/>
      <c r="M13" s="19"/>
      <c r="N13" s="19"/>
      <c r="O13" s="19"/>
      <c r="P13" s="3"/>
      <c r="Q13" s="3"/>
      <c r="R13" s="3"/>
      <c r="S13" s="3"/>
      <c r="T13" s="3"/>
      <c r="U13" s="3"/>
      <c r="V13" s="3"/>
      <c r="W13" s="3"/>
      <c r="X13" s="3"/>
      <c r="Y13" s="3"/>
      <c r="Z13" s="3"/>
      <c r="AA13" s="3"/>
      <c r="AB13" s="3"/>
      <c r="AC13" s="3"/>
      <c r="AD13" s="3"/>
      <c r="AE13" s="3"/>
      <c r="AF13" s="3"/>
      <c r="AG13" s="3"/>
      <c r="AH13" s="3"/>
      <c r="AI13" s="3"/>
    </row>
    <row r="14" spans="1:35">
      <c r="A14" s="3"/>
      <c r="B14" s="801"/>
      <c r="C14" s="3"/>
      <c r="D14" s="27"/>
      <c r="E14" s="28"/>
      <c r="F14" s="28"/>
      <c r="G14" s="28"/>
      <c r="H14" s="3"/>
      <c r="I14" s="19"/>
      <c r="J14" s="19"/>
      <c r="K14" s="20"/>
      <c r="L14" s="19"/>
      <c r="M14" s="19"/>
      <c r="N14" s="19"/>
      <c r="O14" s="19"/>
      <c r="P14" s="3"/>
      <c r="Q14" s="3"/>
      <c r="R14" s="3"/>
      <c r="S14" s="3"/>
      <c r="T14" s="3"/>
      <c r="U14" s="3"/>
      <c r="V14" s="3"/>
      <c r="W14" s="3"/>
      <c r="X14" s="3"/>
      <c r="Y14" s="3"/>
      <c r="Z14" s="3"/>
      <c r="AA14" s="3"/>
      <c r="AB14" s="3"/>
      <c r="AC14" s="3"/>
      <c r="AD14" s="3"/>
      <c r="AE14" s="3"/>
      <c r="AF14" s="3"/>
      <c r="AG14" s="3"/>
      <c r="AH14" s="3"/>
      <c r="AI14" s="3"/>
    </row>
    <row r="15" spans="1:35">
      <c r="A15" s="3"/>
      <c r="B15" s="20"/>
      <c r="C15" s="3"/>
      <c r="D15" s="20"/>
      <c r="E15" s="20"/>
      <c r="F15" s="20"/>
      <c r="G15" s="20"/>
      <c r="H15" s="3"/>
      <c r="I15" s="20"/>
      <c r="J15" s="20"/>
      <c r="K15" s="20"/>
      <c r="L15" s="20"/>
      <c r="M15" s="20"/>
      <c r="N15" s="20"/>
      <c r="O15" s="20"/>
      <c r="P15" s="3"/>
      <c r="Q15" s="3"/>
      <c r="R15" s="3"/>
      <c r="S15" s="3"/>
      <c r="T15" s="3"/>
      <c r="U15" s="3"/>
      <c r="V15" s="3"/>
      <c r="W15" s="3"/>
      <c r="X15" s="3"/>
      <c r="Y15" s="3"/>
      <c r="Z15" s="3"/>
      <c r="AA15" s="3"/>
      <c r="AB15" s="3"/>
      <c r="AC15" s="3"/>
      <c r="AD15" s="3"/>
      <c r="AE15" s="3"/>
      <c r="AF15" s="3"/>
      <c r="AG15" s="3"/>
      <c r="AH15" s="3"/>
      <c r="AI15" s="3"/>
    </row>
    <row r="16" spans="1:35">
      <c r="A16" s="3"/>
      <c r="B16" s="799" t="s">
        <v>53</v>
      </c>
      <c r="C16" s="3"/>
      <c r="D16" s="26" t="s">
        <v>54</v>
      </c>
      <c r="E16" s="26"/>
      <c r="F16" s="26"/>
      <c r="G16" s="26"/>
      <c r="H16" s="3"/>
      <c r="I16" s="19" t="s">
        <v>55</v>
      </c>
      <c r="J16" s="18" t="s">
        <v>56</v>
      </c>
      <c r="K16" s="20"/>
      <c r="L16" s="22" t="str">
        <f>HYPERLINK("https://factfinder.census.gov/faces/tableservices/jsf/pages/productview.xhtml?src=bkmk","2016 Census: Community Survey")</f>
        <v>2016 Census: Community Survey</v>
      </c>
      <c r="M16" s="19"/>
      <c r="N16" s="19"/>
      <c r="O16" s="19"/>
      <c r="P16" s="3"/>
      <c r="Q16" s="3"/>
      <c r="R16" s="3"/>
      <c r="S16" s="3"/>
      <c r="T16" s="3"/>
      <c r="U16" s="3"/>
      <c r="V16" s="3"/>
      <c r="W16" s="3"/>
      <c r="X16" s="3"/>
      <c r="Y16" s="3"/>
      <c r="Z16" s="3"/>
      <c r="AA16" s="3"/>
      <c r="AB16" s="3"/>
      <c r="AC16" s="3"/>
      <c r="AD16" s="3"/>
      <c r="AE16" s="3"/>
      <c r="AF16" s="3"/>
      <c r="AG16" s="3"/>
      <c r="AH16" s="3"/>
      <c r="AI16" s="3"/>
    </row>
    <row r="17" spans="1:35" s="432" customFormat="1">
      <c r="A17" s="307"/>
      <c r="B17" s="802"/>
      <c r="C17" s="307"/>
      <c r="D17" s="28"/>
      <c r="E17" s="28"/>
      <c r="F17" s="28"/>
      <c r="G17" s="28"/>
      <c r="H17" s="307"/>
      <c r="I17" s="19" t="s">
        <v>59</v>
      </c>
      <c r="J17" s="18" t="s">
        <v>60</v>
      </c>
      <c r="K17" s="308"/>
      <c r="L17" s="22" t="str">
        <f>HYPERLINK("http://tstc.org/reports/cpfactsheets.php","Tri-State Transportation Campaign")</f>
        <v>Tri-State Transportation Campaign</v>
      </c>
      <c r="M17" s="311"/>
      <c r="N17" s="311"/>
      <c r="O17" s="311"/>
      <c r="P17" s="307"/>
      <c r="Q17" s="307"/>
      <c r="R17" s="307"/>
      <c r="S17" s="307"/>
      <c r="T17" s="307"/>
      <c r="U17" s="307"/>
      <c r="V17" s="307"/>
      <c r="W17" s="307"/>
      <c r="X17" s="307"/>
      <c r="Y17" s="307"/>
      <c r="Z17" s="307"/>
      <c r="AA17" s="307"/>
      <c r="AB17" s="307"/>
      <c r="AC17" s="307"/>
      <c r="AD17" s="307"/>
      <c r="AE17" s="307"/>
      <c r="AF17" s="307"/>
      <c r="AG17" s="307"/>
      <c r="AH17" s="307"/>
      <c r="AI17" s="307"/>
    </row>
    <row r="18" spans="1:35">
      <c r="A18" s="3"/>
      <c r="B18" s="800"/>
      <c r="C18" s="3"/>
      <c r="D18" s="27" t="s">
        <v>1015</v>
      </c>
      <c r="E18" s="329" t="s">
        <v>1016</v>
      </c>
      <c r="F18" s="28"/>
      <c r="G18" s="28"/>
      <c r="H18" s="3"/>
      <c r="I18" s="19" t="s">
        <v>67</v>
      </c>
      <c r="J18" s="18" t="s">
        <v>68</v>
      </c>
      <c r="K18" s="20"/>
      <c r="L18" s="22"/>
      <c r="M18" s="19"/>
      <c r="N18" s="19"/>
      <c r="O18" s="19"/>
      <c r="P18" s="3"/>
      <c r="Q18" s="3"/>
      <c r="R18" s="3"/>
      <c r="S18" s="3"/>
      <c r="T18" s="3"/>
      <c r="U18" s="3"/>
      <c r="V18" s="3"/>
      <c r="W18" s="3"/>
      <c r="X18" s="3"/>
      <c r="Y18" s="3"/>
      <c r="Z18" s="3"/>
      <c r="AA18" s="3"/>
      <c r="AB18" s="3"/>
      <c r="AC18" s="3"/>
      <c r="AD18" s="3"/>
      <c r="AE18" s="3"/>
      <c r="AF18" s="3"/>
      <c r="AG18" s="3"/>
      <c r="AH18" s="3"/>
      <c r="AI18" s="3"/>
    </row>
    <row r="19" spans="1:35">
      <c r="A19" s="3"/>
      <c r="B19" s="800"/>
      <c r="C19" s="3"/>
      <c r="D19" s="27" t="s">
        <v>63</v>
      </c>
      <c r="E19" s="335">
        <v>15</v>
      </c>
      <c r="F19" s="28"/>
      <c r="G19" s="28"/>
      <c r="H19" s="3"/>
      <c r="I19" s="19" t="s">
        <v>73</v>
      </c>
      <c r="J19" s="33">
        <v>0.74</v>
      </c>
      <c r="K19" s="20"/>
      <c r="L19" s="19"/>
      <c r="M19" s="19"/>
      <c r="N19" s="19"/>
      <c r="O19" s="19"/>
      <c r="P19" s="3"/>
      <c r="Q19" s="3"/>
      <c r="R19" s="3"/>
      <c r="S19" s="3"/>
      <c r="T19" s="3"/>
      <c r="U19" s="3"/>
      <c r="V19" s="3"/>
      <c r="W19" s="3"/>
      <c r="X19" s="3"/>
      <c r="Y19" s="3"/>
      <c r="Z19" s="3"/>
      <c r="AA19" s="3"/>
      <c r="AB19" s="3"/>
      <c r="AC19" s="3"/>
      <c r="AD19" s="3"/>
      <c r="AE19" s="3"/>
      <c r="AF19" s="3"/>
      <c r="AG19" s="3"/>
      <c r="AH19" s="3"/>
      <c r="AI19" s="3"/>
    </row>
    <row r="20" spans="1:35">
      <c r="A20" s="3"/>
      <c r="B20" s="800"/>
      <c r="C20" s="3"/>
      <c r="D20" s="27" t="s">
        <v>69</v>
      </c>
      <c r="E20" s="32">
        <f>_xlfn.IFS(E18="Avg. daily occupancy",(E19/Introduction!F15),E18="Peak occupancy",(E19/Introduction!F16),E18="FTEs",(E19/Introduction!F17))</f>
        <v>0.21428571428571427</v>
      </c>
      <c r="F20" s="28"/>
      <c r="G20" s="28"/>
      <c r="H20" s="3"/>
      <c r="I20" s="19" t="s">
        <v>75</v>
      </c>
      <c r="J20" s="33">
        <v>0.94</v>
      </c>
      <c r="K20" s="20"/>
      <c r="L20" s="19"/>
      <c r="M20" s="19"/>
      <c r="N20" s="19"/>
      <c r="O20" s="19"/>
      <c r="P20" s="3"/>
      <c r="Q20" s="3"/>
      <c r="R20" s="3"/>
      <c r="S20" s="3"/>
      <c r="T20" s="3"/>
      <c r="U20" s="3"/>
      <c r="V20" s="3"/>
      <c r="W20" s="3"/>
      <c r="X20" s="3"/>
      <c r="Y20" s="3"/>
      <c r="Z20" s="3"/>
      <c r="AA20" s="3"/>
      <c r="AB20" s="3"/>
      <c r="AC20" s="3"/>
      <c r="AD20" s="3"/>
      <c r="AE20" s="3"/>
      <c r="AF20" s="3"/>
      <c r="AG20" s="3"/>
      <c r="AH20" s="3"/>
      <c r="AI20" s="3"/>
    </row>
    <row r="21" spans="1:35" ht="15.75" customHeight="1">
      <c r="A21" s="3"/>
      <c r="B21" s="801"/>
      <c r="C21" s="3"/>
      <c r="D21" s="28"/>
      <c r="E21" s="28"/>
      <c r="F21" s="28"/>
      <c r="G21" s="28"/>
      <c r="H21" s="3"/>
      <c r="I21" s="19"/>
      <c r="J21" s="19"/>
      <c r="K21" s="20"/>
      <c r="L21" s="19"/>
      <c r="M21" s="19"/>
      <c r="N21" s="19"/>
      <c r="O21" s="19"/>
      <c r="P21" s="3"/>
      <c r="Q21" s="3"/>
      <c r="R21" s="3"/>
      <c r="S21" s="3"/>
      <c r="T21" s="3"/>
      <c r="U21" s="3"/>
      <c r="V21" s="3"/>
      <c r="W21" s="3"/>
      <c r="X21" s="3"/>
      <c r="Y21" s="3"/>
      <c r="Z21" s="3"/>
      <c r="AA21" s="3"/>
      <c r="AB21" s="3"/>
      <c r="AC21" s="3"/>
      <c r="AD21" s="3"/>
      <c r="AE21" s="3"/>
      <c r="AF21" s="3"/>
      <c r="AG21" s="3"/>
      <c r="AH21" s="3"/>
      <c r="AI21" s="3"/>
    </row>
    <row r="22" spans="1:35" ht="15.75" customHeight="1">
      <c r="A22" s="3"/>
      <c r="B22" s="20"/>
      <c r="C22" s="3"/>
      <c r="D22" s="20"/>
      <c r="E22" s="20"/>
      <c r="F22" s="20"/>
      <c r="G22" s="20"/>
      <c r="H22" s="3"/>
      <c r="I22" s="20"/>
      <c r="J22" s="20"/>
      <c r="K22" s="20"/>
      <c r="L22" s="20"/>
      <c r="M22" s="20"/>
      <c r="N22" s="20"/>
      <c r="O22" s="20"/>
      <c r="P22" s="3"/>
      <c r="Q22" s="3"/>
      <c r="R22" s="3"/>
      <c r="S22" s="3"/>
      <c r="T22" s="3"/>
      <c r="U22" s="3"/>
      <c r="V22" s="3"/>
      <c r="W22" s="3"/>
      <c r="X22" s="3"/>
      <c r="Y22" s="3"/>
      <c r="Z22" s="3"/>
      <c r="AA22" s="3"/>
      <c r="AB22" s="3"/>
      <c r="AC22" s="3"/>
      <c r="AD22" s="3"/>
      <c r="AE22" s="3"/>
      <c r="AF22" s="3"/>
      <c r="AG22" s="3"/>
      <c r="AH22" s="3"/>
      <c r="AI22" s="3"/>
    </row>
    <row r="23" spans="1:35" ht="15.75" customHeight="1">
      <c r="A23" s="3"/>
      <c r="B23" s="799" t="s">
        <v>1014</v>
      </c>
      <c r="C23" s="3"/>
      <c r="D23" s="26" t="s">
        <v>77</v>
      </c>
      <c r="E23" s="26"/>
      <c r="F23" s="26"/>
      <c r="G23" s="26"/>
      <c r="H23" s="3"/>
      <c r="I23" s="19" t="s">
        <v>79</v>
      </c>
      <c r="J23" s="19"/>
      <c r="K23" s="20"/>
      <c r="L23" s="37" t="s">
        <v>80</v>
      </c>
      <c r="M23" s="37"/>
      <c r="N23" s="37" t="s">
        <v>84</v>
      </c>
      <c r="O23" s="37" t="s">
        <v>85</v>
      </c>
      <c r="P23" s="3"/>
      <c r="Q23" s="3"/>
      <c r="R23" s="3"/>
      <c r="S23" s="3"/>
      <c r="T23" s="3"/>
      <c r="U23" s="3"/>
      <c r="V23" s="3"/>
      <c r="W23" s="3"/>
      <c r="X23" s="3"/>
      <c r="Y23" s="3"/>
      <c r="Z23" s="3"/>
      <c r="AA23" s="3"/>
      <c r="AB23" s="3"/>
      <c r="AC23" s="3"/>
      <c r="AD23" s="3"/>
      <c r="AE23" s="3"/>
      <c r="AF23" s="3"/>
      <c r="AG23" s="3"/>
      <c r="AH23" s="3"/>
      <c r="AI23" s="3"/>
    </row>
    <row r="24" spans="1:35" ht="15.75" customHeight="1">
      <c r="A24" s="3"/>
      <c r="B24" s="800"/>
      <c r="C24" s="3"/>
      <c r="D24" s="28"/>
      <c r="E24" s="28"/>
      <c r="F24" s="28"/>
      <c r="G24" s="28"/>
      <c r="H24" s="3"/>
      <c r="I24" s="19"/>
      <c r="J24" s="19"/>
      <c r="K24" s="20"/>
      <c r="L24" s="19" t="s">
        <v>87</v>
      </c>
      <c r="M24" s="19">
        <v>21.6</v>
      </c>
      <c r="N24" s="19" t="s">
        <v>88</v>
      </c>
      <c r="O24" s="22" t="str">
        <f>HYPERLINK("https://www.eia.gov/outlooks/aeo/"," EIA - 2017 Report")</f>
        <v xml:space="preserve"> EIA - 2017 Report</v>
      </c>
      <c r="P24" s="3"/>
      <c r="Q24" s="3"/>
      <c r="R24" s="3"/>
      <c r="S24" s="3"/>
      <c r="T24" s="3"/>
      <c r="U24" s="3"/>
      <c r="V24" s="3"/>
      <c r="W24" s="3"/>
      <c r="X24" s="3"/>
      <c r="Y24" s="3"/>
      <c r="Z24" s="3"/>
      <c r="AA24" s="3"/>
      <c r="AB24" s="3"/>
      <c r="AC24" s="3"/>
      <c r="AD24" s="3"/>
      <c r="AE24" s="3"/>
      <c r="AF24" s="3"/>
      <c r="AG24" s="3"/>
      <c r="AH24" s="3"/>
      <c r="AI24" s="3"/>
    </row>
    <row r="25" spans="1:35" ht="15.75" customHeight="1">
      <c r="A25" s="3"/>
      <c r="B25" s="800"/>
      <c r="C25" s="3"/>
      <c r="D25" s="39"/>
      <c r="E25" s="40" t="s">
        <v>91</v>
      </c>
      <c r="F25" s="40" t="s">
        <v>41</v>
      </c>
      <c r="G25" s="28"/>
      <c r="H25" s="3"/>
      <c r="I25" s="19" t="s">
        <v>92</v>
      </c>
      <c r="J25" s="19" t="s">
        <v>41</v>
      </c>
      <c r="K25" s="20"/>
      <c r="L25" s="19" t="s">
        <v>1056</v>
      </c>
      <c r="M25" s="19">
        <v>19.600000000000001</v>
      </c>
      <c r="N25" s="19" t="s">
        <v>1119</v>
      </c>
      <c r="O25" s="22" t="str">
        <f>HYPERLINK("https://nepis.epa.gov/Exe/ZyPDF.cgi?Dockey=P100U8YT.pdf"," EPA - Vehicle Emissions")</f>
        <v xml:space="preserve"> EPA - Vehicle Emissions</v>
      </c>
      <c r="P25" s="3"/>
      <c r="Q25" s="3"/>
      <c r="R25" s="3"/>
      <c r="S25" s="3"/>
      <c r="T25" s="3"/>
      <c r="U25" s="3"/>
      <c r="V25" s="3"/>
      <c r="W25" s="3"/>
      <c r="X25" s="3"/>
      <c r="Y25" s="3"/>
      <c r="Z25" s="3"/>
      <c r="AA25" s="3"/>
      <c r="AB25" s="3"/>
      <c r="AC25" s="3"/>
      <c r="AD25" s="3"/>
      <c r="AE25" s="3"/>
      <c r="AF25" s="3"/>
      <c r="AG25" s="3"/>
      <c r="AH25" s="3"/>
      <c r="AI25" s="3"/>
    </row>
    <row r="26" spans="1:35" ht="15.75" customHeight="1">
      <c r="A26" s="3"/>
      <c r="B26" s="800"/>
      <c r="C26" s="3"/>
      <c r="D26" s="27" t="s">
        <v>96</v>
      </c>
      <c r="E26" s="41">
        <f>1-E20</f>
        <v>0.7857142857142857</v>
      </c>
      <c r="F26" s="41">
        <v>0.76</v>
      </c>
      <c r="G26" s="28" t="s">
        <v>97</v>
      </c>
      <c r="H26" s="3"/>
      <c r="I26" s="19" t="s">
        <v>98</v>
      </c>
      <c r="J26" s="19" t="s">
        <v>99</v>
      </c>
      <c r="K26" s="20"/>
      <c r="L26" s="19" t="s">
        <v>100</v>
      </c>
      <c r="M26" s="19">
        <v>13</v>
      </c>
      <c r="N26" s="19" t="s">
        <v>101</v>
      </c>
      <c r="O26" s="22" t="str">
        <f t="shared" ref="O26:O27" si="0">HYPERLINK("https://factfinder.census.gov/faces/tableservices/jsf/pages/productview.xhtml?src=bkmk","2016 Census")</f>
        <v>2016 Census</v>
      </c>
      <c r="P26" s="3"/>
      <c r="Q26" s="3"/>
      <c r="R26" s="3"/>
      <c r="S26" s="3"/>
      <c r="T26" s="3"/>
      <c r="U26" s="3"/>
      <c r="V26" s="3"/>
      <c r="W26" s="3"/>
      <c r="X26" s="3"/>
      <c r="Y26" s="3"/>
      <c r="Z26" s="3"/>
      <c r="AA26" s="3"/>
      <c r="AB26" s="3"/>
      <c r="AC26" s="3"/>
      <c r="AD26" s="3"/>
      <c r="AE26" s="3"/>
      <c r="AF26" s="3"/>
      <c r="AG26" s="3"/>
      <c r="AH26" s="3"/>
      <c r="AI26" s="3"/>
    </row>
    <row r="27" spans="1:35" ht="15.75" customHeight="1">
      <c r="A27" s="3"/>
      <c r="B27" s="800"/>
      <c r="C27" s="3"/>
      <c r="D27" s="27" t="s">
        <v>102</v>
      </c>
      <c r="E27" s="336">
        <v>15</v>
      </c>
      <c r="F27" s="28">
        <v>26</v>
      </c>
      <c r="G27" s="28" t="s">
        <v>101</v>
      </c>
      <c r="H27" s="3"/>
      <c r="I27" s="19" t="s">
        <v>103</v>
      </c>
      <c r="J27" s="42" t="s">
        <v>104</v>
      </c>
      <c r="K27" s="20"/>
      <c r="L27" s="19" t="s">
        <v>105</v>
      </c>
      <c r="M27" s="43">
        <v>0.76</v>
      </c>
      <c r="N27" s="19"/>
      <c r="O27" s="22" t="str">
        <f t="shared" si="0"/>
        <v>2016 Census</v>
      </c>
      <c r="P27" s="3"/>
      <c r="Q27" s="3"/>
      <c r="R27" s="3"/>
      <c r="S27" s="3"/>
      <c r="T27" s="3"/>
      <c r="U27" s="3"/>
      <c r="V27" s="3"/>
      <c r="W27" s="3"/>
      <c r="X27" s="3"/>
      <c r="Y27" s="3"/>
      <c r="Z27" s="3"/>
      <c r="AA27" s="3"/>
      <c r="AB27" s="3"/>
      <c r="AC27" s="3"/>
      <c r="AD27" s="3"/>
      <c r="AE27" s="3"/>
      <c r="AF27" s="3"/>
      <c r="AG27" s="3"/>
      <c r="AH27" s="3"/>
      <c r="AI27" s="3"/>
    </row>
    <row r="28" spans="1:35" ht="15.75" customHeight="1">
      <c r="A28" s="3"/>
      <c r="B28" s="800"/>
      <c r="C28" s="3"/>
      <c r="D28" s="27" t="s">
        <v>106</v>
      </c>
      <c r="E28" s="335">
        <v>5</v>
      </c>
      <c r="F28" s="28">
        <v>5</v>
      </c>
      <c r="G28" s="28" t="s">
        <v>76</v>
      </c>
      <c r="H28" s="3"/>
      <c r="I28" s="19" t="s">
        <v>107</v>
      </c>
      <c r="J28" s="19" t="s">
        <v>108</v>
      </c>
      <c r="K28" s="20"/>
      <c r="L28" s="19" t="s">
        <v>109</v>
      </c>
      <c r="M28" s="19">
        <v>250</v>
      </c>
      <c r="N28" s="19" t="s">
        <v>110</v>
      </c>
      <c r="O28" s="19" t="s">
        <v>111</v>
      </c>
      <c r="P28" s="3"/>
      <c r="Q28" s="3"/>
      <c r="R28" s="3"/>
      <c r="S28" s="3"/>
      <c r="T28" s="3"/>
      <c r="U28" s="3"/>
      <c r="V28" s="3"/>
      <c r="W28" s="3"/>
      <c r="X28" s="3"/>
      <c r="Y28" s="3"/>
      <c r="Z28" s="3"/>
      <c r="AA28" s="3"/>
      <c r="AB28" s="3"/>
      <c r="AC28" s="3"/>
      <c r="AD28" s="3"/>
      <c r="AE28" s="3"/>
      <c r="AF28" s="3"/>
      <c r="AG28" s="3"/>
      <c r="AH28" s="3"/>
      <c r="AI28" s="3"/>
    </row>
    <row r="29" spans="1:35" ht="15.75" customHeight="1">
      <c r="A29" s="3"/>
      <c r="B29" s="800"/>
      <c r="C29" s="3"/>
      <c r="D29" s="27" t="s">
        <v>112</v>
      </c>
      <c r="E29" s="608">
        <v>50</v>
      </c>
      <c r="F29" s="28">
        <v>50</v>
      </c>
      <c r="G29" s="28" t="s">
        <v>113</v>
      </c>
      <c r="H29" s="3"/>
      <c r="I29" s="19" t="s">
        <v>114</v>
      </c>
      <c r="J29" s="19" t="s">
        <v>115</v>
      </c>
      <c r="K29" s="20"/>
      <c r="L29" s="19"/>
      <c r="M29" s="19"/>
      <c r="N29" s="19"/>
      <c r="O29" s="19"/>
      <c r="P29" s="3"/>
      <c r="Q29" s="3"/>
      <c r="R29" s="3"/>
      <c r="S29" s="3"/>
      <c r="T29" s="3"/>
      <c r="U29" s="3"/>
      <c r="V29" s="3"/>
      <c r="W29" s="3"/>
      <c r="X29" s="3"/>
      <c r="Y29" s="3"/>
      <c r="Z29" s="3"/>
      <c r="AA29" s="3"/>
      <c r="AB29" s="3"/>
      <c r="AC29" s="3"/>
      <c r="AD29" s="3"/>
      <c r="AE29" s="3"/>
      <c r="AF29" s="3"/>
      <c r="AG29" s="3"/>
      <c r="AH29" s="3"/>
      <c r="AI29" s="3"/>
    </row>
    <row r="30" spans="1:35" ht="15.75" customHeight="1">
      <c r="A30" s="3"/>
      <c r="B30" s="800"/>
      <c r="C30" s="3"/>
      <c r="D30" s="27" t="s">
        <v>116</v>
      </c>
      <c r="E30" s="607">
        <v>30</v>
      </c>
      <c r="F30" s="28">
        <v>21.6</v>
      </c>
      <c r="G30" s="28" t="s">
        <v>88</v>
      </c>
      <c r="H30" s="3"/>
      <c r="I30" s="19"/>
      <c r="J30" s="19"/>
      <c r="K30" s="20"/>
      <c r="L30" s="19" t="s">
        <v>117</v>
      </c>
      <c r="M30" s="19"/>
      <c r="N30" s="19"/>
      <c r="O30" s="19"/>
      <c r="P30" s="3"/>
      <c r="Q30" s="3"/>
      <c r="R30" s="3"/>
      <c r="S30" s="3"/>
      <c r="T30" s="3"/>
      <c r="U30" s="3"/>
      <c r="V30" s="3"/>
      <c r="W30" s="3"/>
      <c r="X30" s="3"/>
      <c r="Y30" s="3"/>
      <c r="Z30" s="3"/>
      <c r="AA30" s="3"/>
      <c r="AB30" s="3"/>
      <c r="AC30" s="3"/>
      <c r="AD30" s="3"/>
      <c r="AE30" s="3"/>
      <c r="AF30" s="3"/>
      <c r="AG30" s="3"/>
      <c r="AH30" s="3"/>
      <c r="AI30" s="3"/>
    </row>
    <row r="31" spans="1:35" ht="15.75" customHeight="1">
      <c r="A31" s="3"/>
      <c r="B31" s="800"/>
      <c r="C31" s="3"/>
      <c r="D31" s="36" t="s">
        <v>1057</v>
      </c>
      <c r="E31" s="28">
        <v>19.600000000000001</v>
      </c>
      <c r="F31" s="39">
        <v>19.600000000000001</v>
      </c>
      <c r="G31" s="28" t="s">
        <v>1118</v>
      </c>
      <c r="H31" s="3"/>
      <c r="I31" s="19"/>
      <c r="J31" s="19"/>
      <c r="K31" s="20"/>
      <c r="L31" s="19"/>
      <c r="M31" s="19"/>
      <c r="N31" s="19"/>
      <c r="O31" s="19"/>
      <c r="P31" s="3"/>
      <c r="Q31" s="3"/>
      <c r="R31" s="3"/>
      <c r="S31" s="3"/>
      <c r="T31" s="3"/>
      <c r="U31" s="3"/>
      <c r="V31" s="3"/>
      <c r="W31" s="3"/>
      <c r="X31" s="3"/>
      <c r="Y31" s="3"/>
      <c r="Z31" s="3"/>
      <c r="AA31" s="3"/>
      <c r="AB31" s="3"/>
      <c r="AC31" s="3"/>
      <c r="AD31" s="3"/>
      <c r="AE31" s="3"/>
      <c r="AF31" s="3"/>
      <c r="AG31" s="3"/>
      <c r="AH31" s="3"/>
      <c r="AI31" s="3"/>
    </row>
    <row r="32" spans="1:35" ht="15.75" customHeight="1">
      <c r="A32" s="3"/>
      <c r="B32" s="800"/>
      <c r="C32" s="3"/>
      <c r="D32" s="44" t="s">
        <v>118</v>
      </c>
      <c r="E32" s="45">
        <f>((E26*E27*E28*F29)/E30)*F31</f>
        <v>1925</v>
      </c>
      <c r="F32" s="46">
        <f>((F26*F27*F28*F29)/F30)*F31</f>
        <v>4482.5925925925931</v>
      </c>
      <c r="G32" s="28"/>
      <c r="H32" s="3"/>
      <c r="I32" s="19"/>
      <c r="J32" s="19"/>
      <c r="K32" s="20"/>
      <c r="L32" s="19"/>
      <c r="M32" s="19"/>
      <c r="N32" s="19"/>
      <c r="O32" s="19"/>
      <c r="P32" s="3"/>
      <c r="Q32" s="3"/>
      <c r="R32" s="3"/>
      <c r="S32" s="3"/>
      <c r="T32" s="3"/>
      <c r="U32" s="3"/>
      <c r="V32" s="3"/>
      <c r="W32" s="3"/>
      <c r="X32" s="3"/>
      <c r="Y32" s="3"/>
      <c r="Z32" s="3"/>
      <c r="AA32" s="3"/>
      <c r="AB32" s="3"/>
      <c r="AC32" s="3"/>
      <c r="AD32" s="3"/>
      <c r="AE32" s="3"/>
      <c r="AF32" s="3"/>
      <c r="AG32" s="3"/>
      <c r="AH32" s="3"/>
      <c r="AI32" s="3"/>
    </row>
    <row r="33" spans="1:35" ht="15.75" customHeight="1">
      <c r="A33" s="3"/>
      <c r="B33" s="800"/>
      <c r="C33" s="3"/>
      <c r="D33" s="44" t="s">
        <v>119</v>
      </c>
      <c r="E33" s="47">
        <f>1-E32/F32</f>
        <v>0.57056101792943903</v>
      </c>
      <c r="F33" s="28"/>
      <c r="G33" s="28"/>
      <c r="H33" s="3"/>
      <c r="I33" s="19"/>
      <c r="J33" s="19"/>
      <c r="K33" s="20"/>
      <c r="L33" s="19"/>
      <c r="M33" s="19"/>
      <c r="N33" s="19"/>
      <c r="O33" s="19"/>
      <c r="P33" s="3"/>
      <c r="Q33" s="3"/>
      <c r="R33" s="3"/>
      <c r="S33" s="3"/>
      <c r="T33" s="3"/>
      <c r="U33" s="3"/>
      <c r="V33" s="3"/>
      <c r="W33" s="3"/>
      <c r="X33" s="3"/>
      <c r="Y33" s="3"/>
      <c r="Z33" s="3"/>
      <c r="AA33" s="3"/>
      <c r="AB33" s="3"/>
      <c r="AC33" s="3"/>
      <c r="AD33" s="3"/>
      <c r="AE33" s="3"/>
      <c r="AF33" s="3"/>
      <c r="AG33" s="3"/>
      <c r="AH33" s="3"/>
      <c r="AI33" s="3"/>
    </row>
    <row r="34" spans="1:35" ht="15.75" customHeight="1">
      <c r="A34" s="3"/>
      <c r="B34" s="801"/>
      <c r="C34" s="3"/>
      <c r="D34" s="28"/>
      <c r="E34" s="28"/>
      <c r="F34" s="28"/>
      <c r="G34" s="28"/>
      <c r="H34" s="3"/>
      <c r="I34" s="19"/>
      <c r="J34" s="19"/>
      <c r="K34" s="20"/>
      <c r="L34" s="19"/>
      <c r="M34" s="19"/>
      <c r="N34" s="19"/>
      <c r="O34" s="19"/>
      <c r="P34" s="3"/>
      <c r="Q34" s="3"/>
      <c r="R34" s="3"/>
      <c r="S34" s="3"/>
      <c r="T34" s="3"/>
      <c r="U34" s="3"/>
      <c r="V34" s="3"/>
      <c r="W34" s="3"/>
      <c r="X34" s="3"/>
      <c r="Y34" s="3"/>
      <c r="Z34" s="3"/>
      <c r="AA34" s="3"/>
      <c r="AB34" s="3"/>
      <c r="AC34" s="3"/>
      <c r="AD34" s="3"/>
      <c r="AE34" s="3"/>
      <c r="AF34" s="3"/>
      <c r="AG34" s="3"/>
      <c r="AH34" s="3"/>
      <c r="AI34" s="3"/>
    </row>
    <row r="35" spans="1:35" ht="15.75" customHeight="1">
      <c r="A35" s="3"/>
      <c r="B35" s="20"/>
      <c r="C35" s="3"/>
      <c r="D35" s="20"/>
      <c r="E35" s="20"/>
      <c r="F35" s="20"/>
      <c r="G35" s="20"/>
      <c r="H35" s="3"/>
      <c r="I35" s="20"/>
      <c r="J35" s="20"/>
      <c r="K35" s="20"/>
      <c r="L35" s="20"/>
      <c r="M35" s="20"/>
      <c r="N35" s="20"/>
      <c r="O35" s="20"/>
      <c r="P35" s="3"/>
      <c r="Q35" s="3"/>
      <c r="R35" s="3"/>
      <c r="S35" s="3"/>
      <c r="T35" s="3"/>
      <c r="U35" s="3"/>
      <c r="V35" s="3"/>
      <c r="W35" s="3"/>
      <c r="X35" s="3"/>
      <c r="Y35" s="3"/>
      <c r="Z35" s="3"/>
      <c r="AA35" s="3"/>
      <c r="AB35" s="3"/>
      <c r="AC35" s="3"/>
      <c r="AD35" s="3"/>
      <c r="AE35" s="3"/>
      <c r="AF35" s="3"/>
      <c r="AG35" s="3"/>
      <c r="AH35" s="3"/>
      <c r="AI35" s="3"/>
    </row>
    <row r="36" spans="1:35" ht="15.75" customHeight="1">
      <c r="A36" s="3"/>
      <c r="B36" s="799" t="s">
        <v>120</v>
      </c>
      <c r="C36" s="3"/>
      <c r="D36" s="26" t="s">
        <v>122</v>
      </c>
      <c r="E36" s="26"/>
      <c r="F36" s="26"/>
      <c r="G36" s="26"/>
      <c r="H36" s="3"/>
      <c r="I36" s="18" t="s">
        <v>123</v>
      </c>
      <c r="J36" s="19" t="s">
        <v>35</v>
      </c>
      <c r="K36" s="20"/>
      <c r="L36" s="20"/>
      <c r="M36" s="20"/>
      <c r="N36" s="20"/>
      <c r="O36" s="20"/>
      <c r="P36" s="3"/>
      <c r="Q36" s="3"/>
      <c r="R36" s="3"/>
      <c r="S36" s="3"/>
      <c r="T36" s="3"/>
      <c r="U36" s="3"/>
      <c r="V36" s="3"/>
      <c r="W36" s="3"/>
      <c r="X36" s="3"/>
      <c r="Y36" s="3"/>
      <c r="Z36" s="3"/>
      <c r="AA36" s="3"/>
      <c r="AB36" s="3"/>
      <c r="AC36" s="3"/>
      <c r="AD36" s="3"/>
      <c r="AE36" s="3"/>
      <c r="AF36" s="3"/>
      <c r="AG36" s="3"/>
      <c r="AH36" s="3"/>
      <c r="AI36" s="3"/>
    </row>
    <row r="37" spans="1:35" ht="15.75" customHeight="1">
      <c r="A37" s="3"/>
      <c r="B37" s="800"/>
      <c r="C37" s="3"/>
      <c r="D37" s="27"/>
      <c r="E37" s="27"/>
      <c r="F37" s="27"/>
      <c r="G37" s="28"/>
      <c r="H37" s="3"/>
      <c r="I37" s="18" t="s">
        <v>125</v>
      </c>
      <c r="J37" s="19" t="s">
        <v>41</v>
      </c>
      <c r="K37" s="20"/>
      <c r="L37" s="20"/>
      <c r="M37" s="20"/>
      <c r="N37" s="20"/>
      <c r="O37" s="20"/>
      <c r="P37" s="3"/>
      <c r="Q37" s="3"/>
      <c r="R37" s="3"/>
      <c r="S37" s="3"/>
      <c r="T37" s="3"/>
      <c r="U37" s="3"/>
      <c r="V37" s="3"/>
      <c r="W37" s="3"/>
      <c r="X37" s="3"/>
      <c r="Y37" s="3"/>
      <c r="Z37" s="3"/>
      <c r="AA37" s="3"/>
      <c r="AB37" s="3"/>
      <c r="AC37" s="3"/>
      <c r="AD37" s="3"/>
      <c r="AE37" s="3"/>
      <c r="AF37" s="3"/>
      <c r="AG37" s="3"/>
      <c r="AH37" s="3"/>
      <c r="AI37" s="3"/>
    </row>
    <row r="38" spans="1:35" ht="15.75" customHeight="1">
      <c r="A38" s="3"/>
      <c r="B38" s="800"/>
      <c r="C38" s="3"/>
      <c r="D38" s="27" t="s">
        <v>126</v>
      </c>
      <c r="E38" s="334">
        <v>37.5</v>
      </c>
      <c r="F38" s="28"/>
      <c r="G38" s="28"/>
      <c r="H38" s="3"/>
      <c r="I38" s="18" t="s">
        <v>127</v>
      </c>
      <c r="J38" s="19" t="s">
        <v>99</v>
      </c>
      <c r="K38" s="20"/>
      <c r="L38" s="20"/>
      <c r="M38" s="20"/>
      <c r="N38" s="20"/>
      <c r="O38" s="20"/>
      <c r="P38" s="3"/>
      <c r="Q38" s="3"/>
      <c r="R38" s="3"/>
      <c r="S38" s="3"/>
      <c r="T38" s="3"/>
      <c r="U38" s="3"/>
      <c r="V38" s="3"/>
      <c r="W38" s="3"/>
      <c r="X38" s="3"/>
      <c r="Y38" s="3"/>
      <c r="Z38" s="3"/>
      <c r="AA38" s="3"/>
      <c r="AB38" s="3"/>
      <c r="AC38" s="3"/>
      <c r="AD38" s="3"/>
      <c r="AE38" s="3"/>
      <c r="AF38" s="3"/>
      <c r="AG38" s="3"/>
      <c r="AH38" s="3"/>
      <c r="AI38" s="3"/>
    </row>
    <row r="39" spans="1:35" ht="15.75" customHeight="1">
      <c r="A39" s="3"/>
      <c r="B39" s="800"/>
      <c r="C39" s="3"/>
      <c r="D39" s="36" t="s">
        <v>1019</v>
      </c>
      <c r="E39" s="337">
        <v>4</v>
      </c>
      <c r="F39" s="28"/>
      <c r="G39" s="28"/>
      <c r="H39" s="3"/>
      <c r="I39" s="18" t="s">
        <v>128</v>
      </c>
      <c r="J39" s="42" t="s">
        <v>104</v>
      </c>
      <c r="K39" s="20"/>
      <c r="L39" s="20"/>
      <c r="M39" s="20"/>
      <c r="N39" s="20"/>
      <c r="O39" s="20"/>
      <c r="P39" s="3"/>
      <c r="Q39" s="3"/>
      <c r="R39" s="3"/>
      <c r="S39" s="3"/>
      <c r="T39" s="3"/>
      <c r="U39" s="3"/>
      <c r="V39" s="3"/>
      <c r="W39" s="3"/>
      <c r="X39" s="3"/>
      <c r="Y39" s="3"/>
      <c r="Z39" s="3"/>
      <c r="AA39" s="3"/>
      <c r="AB39" s="3"/>
      <c r="AC39" s="3"/>
      <c r="AD39" s="3"/>
      <c r="AE39" s="3"/>
      <c r="AF39" s="3"/>
      <c r="AG39" s="3"/>
      <c r="AH39" s="3"/>
      <c r="AI39" s="3"/>
    </row>
    <row r="40" spans="1:35" ht="15.75" customHeight="1">
      <c r="A40" s="3"/>
      <c r="B40" s="800"/>
      <c r="C40" s="3"/>
      <c r="D40" s="44" t="s">
        <v>129</v>
      </c>
      <c r="E40" s="32">
        <f>1-(E39/E38)</f>
        <v>0.89333333333333331</v>
      </c>
      <c r="F40" s="28"/>
      <c r="G40" s="28"/>
      <c r="H40" s="3"/>
      <c r="I40" s="18" t="s">
        <v>131</v>
      </c>
      <c r="J40" s="19" t="s">
        <v>108</v>
      </c>
      <c r="K40" s="20"/>
      <c r="L40" s="20"/>
      <c r="M40" s="20"/>
      <c r="N40" s="20"/>
      <c r="O40" s="20"/>
      <c r="P40" s="3"/>
      <c r="Q40" s="3"/>
      <c r="R40" s="3"/>
      <c r="S40" s="3"/>
      <c r="T40" s="3"/>
      <c r="U40" s="3"/>
      <c r="V40" s="3"/>
      <c r="W40" s="3"/>
      <c r="X40" s="3"/>
      <c r="Y40" s="3"/>
      <c r="Z40" s="3"/>
      <c r="AA40" s="3"/>
      <c r="AB40" s="3"/>
      <c r="AC40" s="3"/>
      <c r="AD40" s="3"/>
      <c r="AE40" s="3"/>
      <c r="AF40" s="3"/>
      <c r="AG40" s="3"/>
      <c r="AH40" s="3"/>
      <c r="AI40" s="3"/>
    </row>
    <row r="41" spans="1:35" ht="15.75" customHeight="1">
      <c r="A41" s="3"/>
      <c r="B41" s="801"/>
      <c r="C41" s="3"/>
      <c r="D41" s="28"/>
      <c r="E41" s="28"/>
      <c r="F41" s="28"/>
      <c r="G41" s="28"/>
      <c r="H41" s="3"/>
      <c r="I41" s="19" t="s">
        <v>132</v>
      </c>
      <c r="J41" s="19" t="s">
        <v>115</v>
      </c>
      <c r="K41" s="20"/>
      <c r="L41" s="20"/>
      <c r="M41" s="20"/>
      <c r="N41" s="20"/>
      <c r="O41" s="20"/>
      <c r="P41" s="3"/>
      <c r="Q41" s="3"/>
      <c r="R41" s="3"/>
      <c r="S41" s="3"/>
      <c r="T41" s="3"/>
      <c r="U41" s="3"/>
      <c r="V41" s="3"/>
      <c r="W41" s="3"/>
      <c r="X41" s="3"/>
      <c r="Y41" s="3"/>
      <c r="Z41" s="3"/>
      <c r="AA41" s="3"/>
      <c r="AB41" s="3"/>
      <c r="AC41" s="3"/>
      <c r="AD41" s="3"/>
      <c r="AE41" s="3"/>
      <c r="AF41" s="3"/>
      <c r="AG41" s="3"/>
      <c r="AH41" s="3"/>
      <c r="AI41" s="3"/>
    </row>
    <row r="42" spans="1:35" ht="15.75" customHeight="1">
      <c r="A42" s="3"/>
      <c r="B42" s="20"/>
      <c r="C42" s="3"/>
      <c r="D42" s="20"/>
      <c r="E42" s="20"/>
      <c r="F42" s="20"/>
      <c r="G42" s="20"/>
      <c r="H42" s="3"/>
      <c r="I42" s="20"/>
      <c r="J42" s="20"/>
      <c r="K42" s="20"/>
      <c r="L42" s="20"/>
      <c r="M42" s="20"/>
      <c r="N42" s="20"/>
      <c r="O42" s="20"/>
      <c r="P42" s="3"/>
      <c r="Q42" s="3"/>
      <c r="R42" s="3"/>
      <c r="S42" s="3"/>
      <c r="T42" s="3"/>
      <c r="U42" s="3"/>
      <c r="V42" s="3"/>
      <c r="W42" s="3"/>
      <c r="X42" s="3"/>
      <c r="Y42" s="3"/>
      <c r="Z42" s="3"/>
      <c r="AA42" s="3"/>
      <c r="AB42" s="3"/>
      <c r="AC42" s="3"/>
      <c r="AD42" s="3"/>
      <c r="AE42" s="3"/>
      <c r="AF42" s="3"/>
      <c r="AG42" s="3"/>
      <c r="AH42" s="3"/>
      <c r="AI42" s="3"/>
    </row>
    <row r="43" spans="1:35" ht="15.75" customHeight="1">
      <c r="A43" s="3"/>
      <c r="B43" s="799" t="s">
        <v>133</v>
      </c>
      <c r="C43" s="3"/>
      <c r="D43" s="26" t="s">
        <v>134</v>
      </c>
      <c r="E43" s="26"/>
      <c r="F43" s="26"/>
      <c r="G43" s="26"/>
      <c r="H43" s="3"/>
      <c r="I43" s="49" t="s">
        <v>135</v>
      </c>
      <c r="J43" s="49" t="s">
        <v>136</v>
      </c>
      <c r="K43" s="20"/>
      <c r="L43" s="20"/>
      <c r="M43" s="20"/>
      <c r="N43" s="20"/>
      <c r="O43" s="20"/>
      <c r="P43" s="3"/>
      <c r="Q43" s="3"/>
      <c r="R43" s="3"/>
      <c r="S43" s="3"/>
      <c r="T43" s="3"/>
      <c r="U43" s="3"/>
      <c r="V43" s="3"/>
      <c r="W43" s="3"/>
      <c r="X43" s="3"/>
      <c r="Y43" s="3"/>
      <c r="Z43" s="3"/>
      <c r="AA43" s="3"/>
      <c r="AB43" s="3"/>
      <c r="AC43" s="3"/>
      <c r="AD43" s="3"/>
      <c r="AE43" s="3"/>
      <c r="AF43" s="3"/>
      <c r="AG43" s="3"/>
      <c r="AH43" s="3"/>
      <c r="AI43" s="3"/>
    </row>
    <row r="44" spans="1:35" s="432" customFormat="1" ht="15.75" customHeight="1">
      <c r="A44" s="307"/>
      <c r="B44" s="802"/>
      <c r="C44" s="307"/>
      <c r="D44" s="28"/>
      <c r="E44" s="28"/>
      <c r="F44" s="28"/>
      <c r="G44" s="28"/>
      <c r="H44" s="307"/>
      <c r="I44" s="311"/>
      <c r="J44" s="311"/>
      <c r="K44" s="308"/>
      <c r="L44" s="308"/>
      <c r="M44" s="308"/>
      <c r="N44" s="308"/>
      <c r="O44" s="308"/>
      <c r="P44" s="307"/>
      <c r="Q44" s="307"/>
      <c r="R44" s="307"/>
      <c r="S44" s="307"/>
      <c r="T44" s="307"/>
      <c r="U44" s="307"/>
      <c r="V44" s="307"/>
      <c r="W44" s="307"/>
      <c r="X44" s="307"/>
      <c r="Y44" s="307"/>
      <c r="Z44" s="307"/>
      <c r="AA44" s="307"/>
      <c r="AB44" s="307"/>
      <c r="AC44" s="307"/>
      <c r="AD44" s="307"/>
      <c r="AE44" s="307"/>
      <c r="AF44" s="307"/>
      <c r="AG44" s="307"/>
      <c r="AH44" s="307"/>
      <c r="AI44" s="307"/>
    </row>
    <row r="45" spans="1:35" s="432" customFormat="1" ht="15.75" customHeight="1">
      <c r="A45" s="307"/>
      <c r="B45" s="802"/>
      <c r="C45" s="307"/>
      <c r="D45" s="27" t="s">
        <v>1015</v>
      </c>
      <c r="E45" s="329" t="s">
        <v>1016</v>
      </c>
      <c r="F45" s="28"/>
      <c r="G45" s="28"/>
      <c r="H45" s="307"/>
      <c r="I45" s="311"/>
      <c r="J45" s="311"/>
      <c r="K45" s="308"/>
      <c r="L45" s="308"/>
      <c r="M45" s="308"/>
      <c r="N45" s="308"/>
      <c r="O45" s="308"/>
      <c r="P45" s="307"/>
      <c r="Q45" s="307"/>
      <c r="R45" s="307"/>
      <c r="S45" s="307"/>
      <c r="T45" s="307"/>
      <c r="U45" s="307"/>
      <c r="V45" s="307"/>
      <c r="W45" s="307"/>
      <c r="X45" s="307"/>
      <c r="Y45" s="307"/>
      <c r="Z45" s="307"/>
      <c r="AA45" s="307"/>
      <c r="AB45" s="307"/>
      <c r="AC45" s="307"/>
      <c r="AD45" s="307"/>
      <c r="AE45" s="307"/>
      <c r="AF45" s="307"/>
      <c r="AG45" s="307"/>
      <c r="AH45" s="307"/>
      <c r="AI45" s="307"/>
    </row>
    <row r="46" spans="1:35" ht="15.75" customHeight="1">
      <c r="A46" s="3"/>
      <c r="B46" s="800"/>
      <c r="C46" s="3"/>
      <c r="D46" s="27" t="s">
        <v>137</v>
      </c>
      <c r="E46" s="334">
        <v>15</v>
      </c>
      <c r="F46" s="28"/>
      <c r="G46" s="28"/>
      <c r="H46" s="3"/>
      <c r="I46" s="18" t="s">
        <v>138</v>
      </c>
      <c r="J46" s="18" t="s">
        <v>139</v>
      </c>
      <c r="K46" s="20"/>
      <c r="L46" s="20"/>
      <c r="M46" s="20"/>
      <c r="N46" s="20"/>
      <c r="O46" s="20"/>
      <c r="P46" s="3"/>
      <c r="Q46" s="3"/>
      <c r="R46" s="3"/>
      <c r="S46" s="3"/>
      <c r="T46" s="3"/>
      <c r="U46" s="3"/>
      <c r="V46" s="3"/>
      <c r="W46" s="3"/>
      <c r="X46" s="3"/>
      <c r="Y46" s="3"/>
      <c r="Z46" s="3"/>
      <c r="AA46" s="3"/>
      <c r="AB46" s="3"/>
      <c r="AC46" s="3"/>
      <c r="AD46" s="3"/>
      <c r="AE46" s="3"/>
      <c r="AF46" s="3"/>
      <c r="AG46" s="3"/>
      <c r="AH46" s="3"/>
      <c r="AI46" s="3"/>
    </row>
    <row r="47" spans="1:35" ht="15.75" customHeight="1">
      <c r="A47" s="3"/>
      <c r="B47" s="800"/>
      <c r="C47" s="3"/>
      <c r="D47" s="36" t="s">
        <v>140</v>
      </c>
      <c r="E47" s="338">
        <v>2</v>
      </c>
      <c r="F47" s="447"/>
      <c r="G47" s="28"/>
      <c r="H47" s="3"/>
      <c r="I47" s="18" t="s">
        <v>141</v>
      </c>
      <c r="J47" s="18" t="s">
        <v>142</v>
      </c>
      <c r="K47" s="20"/>
      <c r="L47" s="20"/>
      <c r="M47" s="20"/>
      <c r="N47" s="20"/>
      <c r="O47" s="20"/>
      <c r="P47" s="3"/>
      <c r="Q47" s="3"/>
      <c r="R47" s="3"/>
      <c r="S47" s="3"/>
      <c r="T47" s="3"/>
      <c r="U47" s="3"/>
      <c r="V47" s="3"/>
      <c r="W47" s="3"/>
      <c r="X47" s="3"/>
      <c r="Y47" s="3"/>
      <c r="Z47" s="3"/>
      <c r="AA47" s="3"/>
      <c r="AB47" s="3"/>
      <c r="AC47" s="3"/>
      <c r="AD47" s="3"/>
      <c r="AE47" s="3"/>
      <c r="AF47" s="3"/>
      <c r="AG47" s="3"/>
      <c r="AH47" s="3"/>
      <c r="AI47" s="3"/>
    </row>
    <row r="48" spans="1:35" ht="15.75" customHeight="1">
      <c r="A48" s="3"/>
      <c r="B48" s="800"/>
      <c r="C48" s="3"/>
      <c r="D48" s="44" t="s">
        <v>143</v>
      </c>
      <c r="E48" s="32">
        <f>_xlfn.IFS(E45="Avg. daily occupancy",(E46/Introduction!F15),E45="Peak occupancy",(E46/Introduction!F16),E45="FTEs",(E46/Introduction!F17))</f>
        <v>0.21428571428571427</v>
      </c>
      <c r="F48" s="50" t="str">
        <f>E45</f>
        <v>FTEs</v>
      </c>
      <c r="G48" s="28"/>
      <c r="H48" s="3"/>
      <c r="I48" s="18" t="s">
        <v>145</v>
      </c>
      <c r="J48" s="18" t="s">
        <v>146</v>
      </c>
      <c r="K48" s="20"/>
      <c r="L48" s="20"/>
      <c r="M48" s="20"/>
      <c r="N48" s="20"/>
      <c r="O48" s="20"/>
      <c r="P48" s="3"/>
      <c r="Q48" s="3"/>
      <c r="R48" s="3"/>
      <c r="S48" s="3"/>
      <c r="T48" s="3"/>
      <c r="U48" s="3"/>
      <c r="V48" s="3"/>
      <c r="W48" s="3"/>
      <c r="X48" s="3"/>
      <c r="Y48" s="3"/>
      <c r="Z48" s="3"/>
      <c r="AA48" s="3"/>
      <c r="AB48" s="3"/>
      <c r="AC48" s="3"/>
      <c r="AD48" s="3"/>
      <c r="AE48" s="3"/>
      <c r="AF48" s="3"/>
      <c r="AG48" s="3"/>
      <c r="AH48" s="3"/>
      <c r="AI48" s="3"/>
    </row>
    <row r="49" spans="1:35" ht="15.75" customHeight="1">
      <c r="A49" s="3"/>
      <c r="B49" s="800"/>
      <c r="C49" s="3"/>
      <c r="D49" s="44" t="s">
        <v>147</v>
      </c>
      <c r="E49" s="47">
        <f>_xlfn.IFS(E45="Avg. daily occupancy",(E47/Introduction!F15),E45="Peak occupancy",(E47/Introduction!F16),E45="FTEs",(E47/Introduction!F17))</f>
        <v>2.8571428571428571E-2</v>
      </c>
      <c r="F49" s="50" t="str">
        <f>E45</f>
        <v>FTEs</v>
      </c>
      <c r="G49" s="28"/>
      <c r="H49" s="3"/>
      <c r="I49" s="19"/>
      <c r="J49" s="19"/>
      <c r="K49" s="20"/>
      <c r="L49" s="20"/>
      <c r="M49" s="20"/>
      <c r="N49" s="20"/>
      <c r="O49" s="20"/>
      <c r="P49" s="3"/>
      <c r="Q49" s="3"/>
      <c r="R49" s="3"/>
      <c r="S49" s="3"/>
      <c r="T49" s="3"/>
      <c r="U49" s="3"/>
      <c r="V49" s="3"/>
      <c r="W49" s="3"/>
      <c r="X49" s="3"/>
      <c r="Y49" s="3"/>
      <c r="Z49" s="3"/>
      <c r="AA49" s="3"/>
      <c r="AB49" s="3"/>
      <c r="AC49" s="3"/>
      <c r="AD49" s="3"/>
      <c r="AE49" s="3"/>
      <c r="AF49" s="3"/>
      <c r="AG49" s="3"/>
      <c r="AH49" s="3"/>
      <c r="AI49" s="3"/>
    </row>
    <row r="50" spans="1:35" ht="15.75" customHeight="1">
      <c r="A50" s="3"/>
      <c r="B50" s="801"/>
      <c r="C50" s="3"/>
      <c r="D50" s="28"/>
      <c r="E50" s="28"/>
      <c r="F50" s="28"/>
      <c r="G50" s="28"/>
      <c r="H50" s="3"/>
      <c r="I50" s="19"/>
      <c r="J50" s="19"/>
      <c r="K50" s="20"/>
      <c r="L50" s="20"/>
      <c r="M50" s="20"/>
      <c r="N50" s="20"/>
      <c r="O50" s="20"/>
      <c r="P50" s="3"/>
      <c r="Q50" s="3"/>
      <c r="R50" s="3"/>
      <c r="S50" s="3"/>
      <c r="T50" s="3"/>
      <c r="U50" s="3"/>
      <c r="V50" s="3"/>
      <c r="W50" s="3"/>
      <c r="X50" s="3"/>
      <c r="Y50" s="3"/>
      <c r="Z50" s="3"/>
      <c r="AA50" s="3"/>
      <c r="AB50" s="3"/>
      <c r="AC50" s="3"/>
      <c r="AD50" s="3"/>
      <c r="AE50" s="3"/>
      <c r="AF50" s="3"/>
      <c r="AG50" s="3"/>
      <c r="AH50" s="3"/>
      <c r="AI50" s="3"/>
    </row>
    <row r="51" spans="1:35" ht="15.7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row>
    <row r="52" spans="1:35" ht="15.7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row>
    <row r="53" spans="1:35" ht="15.7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row>
    <row r="54" spans="1:35" ht="15.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row>
    <row r="55" spans="1:35" ht="15.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row>
    <row r="56" spans="1:35" ht="15.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row>
    <row r="57" spans="1:35" ht="15.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row>
    <row r="58" spans="1:35" ht="15.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row>
    <row r="59" spans="1:35" ht="15.7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row>
    <row r="60" spans="1:35" ht="15.7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row>
    <row r="61" spans="1:35" ht="15.7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row>
    <row r="62" spans="1:35" ht="15.7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row>
    <row r="63" spans="1:35" ht="15.7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row>
    <row r="64" spans="1:35" ht="15.7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row>
    <row r="65" spans="1:35"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row>
    <row r="66" spans="1:35"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row>
    <row r="67" spans="1:35"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row>
    <row r="68" spans="1:35"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row>
    <row r="69" spans="1:35"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row>
    <row r="70" spans="1:35"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row>
    <row r="71" spans="1:35"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row>
    <row r="72" spans="1:35"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row>
    <row r="73" spans="1:35"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row>
    <row r="74" spans="1:35"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row>
    <row r="75" spans="1:35"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row>
    <row r="76" spans="1:35"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row>
    <row r="77" spans="1:35"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row>
    <row r="78" spans="1:35"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row>
    <row r="79" spans="1:35"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row>
    <row r="80" spans="1:35"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row>
    <row r="81" spans="1:35"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row>
    <row r="82" spans="1:35"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row>
    <row r="83" spans="1:35"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row>
    <row r="84" spans="1:35"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row>
    <row r="85" spans="1:35"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row>
    <row r="86" spans="1:35"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row>
    <row r="87" spans="1:35"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row>
    <row r="88" spans="1:35"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row>
    <row r="89" spans="1:35"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row>
    <row r="90" spans="1:35"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row>
    <row r="91" spans="1:35"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row>
    <row r="92" spans="1:35"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row>
    <row r="93" spans="1:35"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row>
    <row r="94" spans="1:35"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row>
    <row r="95" spans="1:35"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row>
    <row r="96" spans="1:35"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row>
    <row r="97" spans="1:35"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row>
    <row r="98" spans="1:35"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row>
    <row r="99" spans="1:35"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row>
    <row r="100" spans="1:35"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row>
    <row r="101" spans="1:35"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row>
    <row r="102" spans="1:35"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row>
    <row r="103" spans="1:35"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row>
    <row r="104" spans="1:35"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row>
    <row r="105" spans="1:35"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row>
    <row r="106" spans="1:35"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row>
    <row r="107" spans="1:35"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row>
    <row r="108" spans="1:35"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row>
    <row r="109" spans="1:35"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row>
    <row r="110" spans="1:35"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row>
    <row r="111" spans="1:35"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row>
    <row r="112" spans="1:35"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row>
    <row r="113" spans="1:35"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row>
    <row r="114" spans="1:35"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row>
    <row r="115" spans="1:35"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row>
    <row r="116" spans="1:35"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row>
    <row r="117" spans="1:35"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row>
    <row r="118" spans="1:35"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row>
    <row r="119" spans="1:35"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row>
    <row r="120" spans="1:35"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row>
    <row r="121" spans="1:35"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row>
    <row r="122" spans="1:35"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row>
    <row r="123" spans="1:35"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row>
    <row r="124" spans="1:35"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row>
    <row r="125" spans="1:35"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row>
    <row r="126" spans="1:35"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row>
    <row r="127" spans="1:35"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row>
    <row r="128" spans="1:35"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row>
    <row r="129" spans="1:35"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row>
    <row r="130" spans="1:35"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row>
    <row r="131" spans="1:35"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row>
    <row r="132" spans="1:35"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row>
    <row r="133" spans="1:35"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row>
    <row r="134" spans="1:35"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row>
    <row r="135" spans="1:35"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row>
    <row r="136" spans="1:35"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row>
    <row r="137" spans="1:35"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row>
    <row r="138" spans="1:35"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row>
    <row r="139" spans="1:35"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row>
    <row r="140" spans="1:35"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row>
    <row r="141" spans="1:35"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row>
    <row r="142" spans="1:35"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row>
    <row r="143" spans="1:35"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row>
    <row r="144" spans="1:35"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row>
    <row r="145" spans="1:35"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row>
    <row r="146" spans="1:35"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row>
    <row r="147" spans="1:35"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row>
    <row r="148" spans="1:35"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row>
    <row r="149" spans="1:35"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row>
    <row r="150" spans="1:35" ht="15.75" customHeight="1">
      <c r="Q150" s="3"/>
      <c r="R150" s="3"/>
      <c r="S150" s="3"/>
      <c r="T150" s="3"/>
      <c r="U150" s="3"/>
      <c r="V150" s="3"/>
      <c r="W150" s="3"/>
      <c r="X150" s="3"/>
      <c r="Y150" s="3"/>
      <c r="Z150" s="3"/>
      <c r="AA150" s="3"/>
      <c r="AB150" s="3"/>
      <c r="AC150" s="3"/>
      <c r="AD150" s="3"/>
      <c r="AE150" s="3"/>
      <c r="AF150" s="3"/>
      <c r="AG150" s="3"/>
      <c r="AH150" s="3"/>
      <c r="AI150" s="3"/>
    </row>
    <row r="151" spans="1:35" ht="15.75" customHeight="1"/>
    <row r="152" spans="1:35" ht="15.75" customHeight="1"/>
    <row r="153" spans="1:35" ht="15.75" customHeight="1"/>
    <row r="154" spans="1:35" ht="15.75" customHeight="1"/>
    <row r="155" spans="1:35" ht="15.75" customHeight="1"/>
    <row r="156" spans="1:35" ht="15.75" customHeight="1"/>
    <row r="157" spans="1:35" ht="15.75" customHeight="1"/>
    <row r="158" spans="1:35" ht="15.75" customHeight="1"/>
    <row r="159" spans="1:35" ht="15.75" customHeight="1"/>
    <row r="160" spans="1:35"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sheetProtection algorithmName="SHA-512" hashValue="8J3RsxKvD8/WdDxsbu/7KJQnmo51ue5WBjIIKASeT9QN0dUy5TKTgHFClY2XBHnHxx3BuUm0KepDGnlKvhywuw==" saltValue="eNh2TitXqkkp+vvau6QyjQ==" spinCount="100000" sheet="1" objects="1" scenarios="1"/>
  <mergeCells count="8">
    <mergeCell ref="B1:D1"/>
    <mergeCell ref="E1:O1"/>
    <mergeCell ref="B23:B34"/>
    <mergeCell ref="B43:B50"/>
    <mergeCell ref="B10:B14"/>
    <mergeCell ref="B16:B21"/>
    <mergeCell ref="B4:B8"/>
    <mergeCell ref="B36:B41"/>
  </mergeCells>
  <dataValidations count="6">
    <dataValidation type="list" allowBlank="1" showErrorMessage="1" sqref="E12" xr:uid="{00000000-0002-0000-0200-000000000000}">
      <formula1>"1: Manipulation,2: Therapy,3: Informing,4: Consultation,5: Placation,6: Partnership,7: Delegation,8: Citizen Control"</formula1>
    </dataValidation>
    <dataValidation type="decimal" operator="greaterThanOrEqual" allowBlank="1" showErrorMessage="1" sqref="E46:E47" xr:uid="{00000000-0002-0000-0200-000001000000}">
      <formula1>0</formula1>
    </dataValidation>
    <dataValidation allowBlank="1" showInputMessage="1" showErrorMessage="1" prompt="This includes biking, walking, or using public transportation. Taxis, Ride sharing, and carpooling are not included.  " sqref="D19" xr:uid="{8BE9B892-7DBE-4D2A-8CC3-79BCF52C4439}"/>
    <dataValidation allowBlank="1" showInputMessage="1" showErrorMessage="1" prompt="For electric vehicals, use MPGe (~100mpg)" sqref="D30" xr:uid="{65805852-6249-4FF7-B1D2-0EDA9CFDBF76}"/>
    <dataValidation type="list" allowBlank="1" showErrorMessage="1" sqref="E18 E45" xr:uid="{3259AC39-36CE-4D60-8072-6222F98EB7FC}">
      <formula1>"Avg. daily occupancy, Peak occupancy, FTEs"</formula1>
    </dataValidation>
    <dataValidation allowBlank="1" showInputMessage="1" showErrorMessage="1" prompt="Choose the occupancy type that makes the most sense for evaluating transportation impact for this project type" sqref="D18 D45" xr:uid="{AD752EF9-AA29-4E9D-B189-1CB7ECCCB77B}"/>
  </dataValidations>
  <hyperlinks>
    <hyperlink ref="D6" r:id="rId1" xr:uid="{00000000-0004-0000-0200-000000000000}"/>
  </hyperlinks>
  <pageMargins left="0.7" right="0.7" top="0.75" bottom="0.75" header="0" footer="0"/>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D1006"/>
  <sheetViews>
    <sheetView workbookViewId="0">
      <pane ySplit="3" topLeftCell="A4" activePane="bottomLeft" state="frozen"/>
      <selection pane="bottomLeft" activeCell="D28" sqref="D28"/>
    </sheetView>
  </sheetViews>
  <sheetFormatPr defaultColWidth="14.42578125" defaultRowHeight="15" customHeight="1"/>
  <cols>
    <col min="1" max="1" width="3.42578125" customWidth="1"/>
    <col min="2" max="2" width="27.42578125" customWidth="1"/>
    <col min="3" max="3" width="3.42578125" customWidth="1"/>
    <col min="4" max="4" width="61.28515625" customWidth="1"/>
    <col min="5" max="5" width="21.5703125" customWidth="1"/>
    <col min="6" max="6" width="8.7109375" customWidth="1"/>
    <col min="7" max="7" width="4.42578125" customWidth="1"/>
    <col min="8" max="8" width="23.7109375" customWidth="1"/>
    <col min="9" max="9" width="3.42578125" customWidth="1"/>
    <col min="10" max="10" width="27.42578125" customWidth="1"/>
    <col min="11" max="11" width="5.5703125" customWidth="1"/>
  </cols>
  <sheetData>
    <row r="1" spans="1:30" ht="46.5" customHeight="1">
      <c r="A1" s="52"/>
      <c r="B1" s="52" t="s">
        <v>171</v>
      </c>
      <c r="C1" s="52"/>
      <c r="D1" s="52"/>
      <c r="E1" s="17"/>
      <c r="F1" s="17"/>
      <c r="G1" s="17"/>
      <c r="H1" s="17"/>
      <c r="I1" s="17"/>
      <c r="J1" s="17"/>
      <c r="K1" s="3"/>
      <c r="L1" s="3"/>
      <c r="M1" s="3"/>
      <c r="N1" s="3"/>
      <c r="O1" s="3"/>
      <c r="P1" s="3"/>
      <c r="Q1" s="3"/>
      <c r="R1" s="3"/>
      <c r="S1" s="3"/>
      <c r="T1" s="3"/>
      <c r="U1" s="3"/>
      <c r="V1" s="3"/>
      <c r="W1" s="3"/>
      <c r="X1" s="3"/>
      <c r="Y1" s="3"/>
      <c r="Z1" s="3"/>
      <c r="AA1" s="3"/>
      <c r="AB1" s="3"/>
      <c r="AC1" s="3"/>
      <c r="AD1" s="3"/>
    </row>
    <row r="2" spans="1:30">
      <c r="A2" s="3"/>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0">
      <c r="A3" s="9"/>
      <c r="B3" s="15" t="s">
        <v>5</v>
      </c>
      <c r="C3" s="9"/>
      <c r="D3" s="15" t="s">
        <v>8</v>
      </c>
      <c r="E3" s="9"/>
      <c r="F3" s="9"/>
      <c r="G3" s="9"/>
      <c r="H3" s="15" t="s">
        <v>9</v>
      </c>
      <c r="I3" s="9"/>
      <c r="J3" s="15" t="s">
        <v>10</v>
      </c>
      <c r="K3" s="3"/>
      <c r="L3" s="3"/>
      <c r="M3" s="3"/>
      <c r="N3" s="3"/>
      <c r="O3" s="3"/>
      <c r="P3" s="3"/>
      <c r="Q3" s="3"/>
      <c r="R3" s="3"/>
      <c r="S3" s="3"/>
      <c r="T3" s="3"/>
      <c r="U3" s="3"/>
      <c r="V3" s="3"/>
      <c r="W3" s="3"/>
      <c r="X3" s="3"/>
      <c r="Y3" s="3"/>
      <c r="Z3" s="3"/>
      <c r="AA3" s="3"/>
      <c r="AB3" s="3"/>
      <c r="AC3" s="3"/>
      <c r="AD3" s="3"/>
    </row>
    <row r="4" spans="1:30">
      <c r="A4" s="3"/>
      <c r="B4" s="799" t="s">
        <v>173</v>
      </c>
      <c r="C4" s="20"/>
      <c r="D4" s="26" t="s">
        <v>174</v>
      </c>
      <c r="E4" s="26"/>
      <c r="F4" s="26"/>
      <c r="G4" s="20"/>
      <c r="H4" s="804" t="s">
        <v>175</v>
      </c>
      <c r="I4" s="20"/>
      <c r="J4" s="804"/>
      <c r="K4" s="3"/>
      <c r="L4" s="3"/>
      <c r="M4" s="3"/>
      <c r="N4" s="3"/>
      <c r="O4" s="3"/>
      <c r="P4" s="3"/>
      <c r="Q4" s="3"/>
      <c r="R4" s="3"/>
      <c r="S4" s="3"/>
      <c r="T4" s="3"/>
      <c r="U4" s="3"/>
      <c r="V4" s="3"/>
      <c r="W4" s="3"/>
      <c r="X4" s="3"/>
      <c r="Y4" s="3"/>
      <c r="Z4" s="3"/>
      <c r="AA4" s="3"/>
      <c r="AB4" s="3"/>
      <c r="AC4" s="3"/>
      <c r="AD4" s="3"/>
    </row>
    <row r="5" spans="1:30">
      <c r="A5" s="3"/>
      <c r="B5" s="800"/>
      <c r="C5" s="20"/>
      <c r="D5" s="27"/>
      <c r="E5" s="27"/>
      <c r="F5" s="28"/>
      <c r="G5" s="20"/>
      <c r="H5" s="800"/>
      <c r="I5" s="20"/>
      <c r="J5" s="800"/>
      <c r="K5" s="3"/>
      <c r="L5" s="3"/>
      <c r="M5" s="3"/>
      <c r="N5" s="3"/>
      <c r="O5" s="3"/>
      <c r="P5" s="3"/>
      <c r="Q5" s="3"/>
      <c r="R5" s="3"/>
      <c r="S5" s="3"/>
      <c r="T5" s="3"/>
      <c r="U5" s="3"/>
      <c r="V5" s="3"/>
      <c r="W5" s="3"/>
      <c r="X5" s="3"/>
      <c r="Y5" s="3"/>
      <c r="Z5" s="3"/>
      <c r="AA5" s="3"/>
      <c r="AB5" s="3"/>
      <c r="AC5" s="3"/>
      <c r="AD5" s="3"/>
    </row>
    <row r="6" spans="1:30" s="610" customFormat="1">
      <c r="A6" s="307"/>
      <c r="B6" s="803"/>
      <c r="C6" s="308"/>
      <c r="D6" s="378" t="s">
        <v>1124</v>
      </c>
      <c r="E6" s="627">
        <v>0</v>
      </c>
      <c r="F6" s="309" t="s">
        <v>64</v>
      </c>
      <c r="G6" s="308"/>
      <c r="H6" s="803"/>
      <c r="I6" s="308"/>
      <c r="J6" s="803"/>
      <c r="K6" s="307"/>
      <c r="L6" s="307"/>
      <c r="M6" s="307"/>
      <c r="N6" s="307"/>
      <c r="O6" s="307"/>
      <c r="P6" s="307"/>
      <c r="Q6" s="307"/>
      <c r="R6" s="307"/>
      <c r="S6" s="307"/>
      <c r="T6" s="307"/>
      <c r="U6" s="307"/>
      <c r="V6" s="307"/>
      <c r="W6" s="307"/>
      <c r="X6" s="307"/>
      <c r="Y6" s="307"/>
      <c r="Z6" s="307"/>
      <c r="AA6" s="307"/>
      <c r="AB6" s="307"/>
      <c r="AC6" s="307"/>
      <c r="AD6" s="307"/>
    </row>
    <row r="7" spans="1:30" s="432" customFormat="1">
      <c r="A7" s="307"/>
      <c r="B7" s="803"/>
      <c r="C7" s="308"/>
      <c r="D7" s="27" t="s">
        <v>1123</v>
      </c>
      <c r="E7" s="616">
        <v>24500</v>
      </c>
      <c r="F7" s="28" t="s">
        <v>64</v>
      </c>
      <c r="G7" s="308"/>
      <c r="H7" s="803"/>
      <c r="I7" s="308"/>
      <c r="J7" s="803"/>
      <c r="K7" s="307"/>
      <c r="L7" s="307"/>
      <c r="M7" s="307"/>
      <c r="N7" s="307"/>
      <c r="O7" s="307"/>
      <c r="P7" s="307"/>
      <c r="Q7" s="307"/>
      <c r="R7" s="307"/>
      <c r="S7" s="307"/>
      <c r="T7" s="307"/>
      <c r="U7" s="307"/>
      <c r="V7" s="307"/>
      <c r="W7" s="307"/>
      <c r="X7" s="307"/>
      <c r="Y7" s="307"/>
      <c r="Z7" s="307"/>
      <c r="AA7" s="307"/>
      <c r="AB7" s="307"/>
      <c r="AC7" s="307"/>
      <c r="AD7" s="307"/>
    </row>
    <row r="8" spans="1:30" s="432" customFormat="1">
      <c r="A8" s="307"/>
      <c r="B8" s="803"/>
      <c r="C8" s="308"/>
      <c r="D8" s="378" t="s">
        <v>1017</v>
      </c>
      <c r="E8" s="339"/>
      <c r="F8" s="28" t="s">
        <v>64</v>
      </c>
      <c r="G8" s="308"/>
      <c r="H8" s="803"/>
      <c r="I8" s="308"/>
      <c r="J8" s="803"/>
      <c r="K8" s="307"/>
      <c r="L8" s="307"/>
      <c r="M8" s="307"/>
      <c r="N8" s="307"/>
      <c r="O8" s="307"/>
      <c r="P8" s="307"/>
      <c r="Q8" s="307"/>
      <c r="R8" s="307"/>
      <c r="S8" s="307"/>
      <c r="T8" s="307"/>
      <c r="U8" s="307"/>
      <c r="V8" s="307"/>
      <c r="W8" s="307"/>
      <c r="X8" s="307"/>
      <c r="Y8" s="307"/>
      <c r="Z8" s="307"/>
      <c r="AA8" s="307"/>
      <c r="AB8" s="307"/>
      <c r="AC8" s="307"/>
      <c r="AD8" s="307"/>
    </row>
    <row r="9" spans="1:30" s="432" customFormat="1">
      <c r="A9" s="307"/>
      <c r="B9" s="803"/>
      <c r="C9" s="308"/>
      <c r="D9" s="378" t="s">
        <v>1018</v>
      </c>
      <c r="E9" s="339">
        <v>900</v>
      </c>
      <c r="F9" s="28" t="s">
        <v>64</v>
      </c>
      <c r="G9" s="308"/>
      <c r="H9" s="803"/>
      <c r="I9" s="308"/>
      <c r="J9" s="803"/>
      <c r="K9" s="307"/>
      <c r="L9" s="307"/>
      <c r="M9" s="307"/>
      <c r="N9" s="307"/>
      <c r="O9" s="307"/>
      <c r="P9" s="307"/>
      <c r="Q9" s="307"/>
      <c r="R9" s="307"/>
      <c r="S9" s="307"/>
      <c r="T9" s="307"/>
      <c r="U9" s="307"/>
      <c r="V9" s="307"/>
      <c r="W9" s="307"/>
      <c r="X9" s="307"/>
      <c r="Y9" s="307"/>
      <c r="Z9" s="307"/>
      <c r="AA9" s="307"/>
      <c r="AB9" s="307"/>
      <c r="AC9" s="307"/>
      <c r="AD9" s="307"/>
    </row>
    <row r="10" spans="1:30" s="432" customFormat="1">
      <c r="A10" s="307"/>
      <c r="B10" s="803"/>
      <c r="C10" s="308"/>
      <c r="D10" s="27" t="s">
        <v>177</v>
      </c>
      <c r="E10" s="448">
        <f>Introduction!F13+E6 -('3 - Ecology'!E7+'3 - Ecology'!E8+'3 - Ecology'!E9)</f>
        <v>1862</v>
      </c>
      <c r="F10" s="28" t="s">
        <v>64</v>
      </c>
      <c r="G10" s="308"/>
      <c r="H10" s="803"/>
      <c r="I10" s="308"/>
      <c r="J10" s="803"/>
      <c r="K10" s="307"/>
      <c r="L10" s="307"/>
      <c r="M10" s="307"/>
      <c r="N10" s="307"/>
      <c r="O10" s="307"/>
      <c r="P10" s="307"/>
      <c r="Q10" s="307"/>
      <c r="R10" s="307"/>
      <c r="S10" s="307"/>
      <c r="T10" s="307"/>
      <c r="U10" s="307"/>
      <c r="V10" s="307"/>
      <c r="W10" s="307"/>
      <c r="X10" s="307"/>
      <c r="Y10" s="307"/>
      <c r="Z10" s="307"/>
      <c r="AA10" s="307"/>
      <c r="AB10" s="307"/>
      <c r="AC10" s="307"/>
      <c r="AD10" s="307"/>
    </row>
    <row r="11" spans="1:30" s="432" customFormat="1" ht="15.75" thickBot="1">
      <c r="A11" s="307"/>
      <c r="B11" s="803"/>
      <c r="C11" s="308"/>
      <c r="D11" s="27" t="s">
        <v>1109</v>
      </c>
      <c r="E11" s="448">
        <f>Introduction!F13</f>
        <v>27262</v>
      </c>
      <c r="F11" s="28" t="s">
        <v>64</v>
      </c>
      <c r="G11" s="308"/>
      <c r="H11" s="803"/>
      <c r="I11" s="308"/>
      <c r="J11" s="803"/>
      <c r="K11" s="307"/>
      <c r="L11" s="307"/>
      <c r="M11" s="307"/>
      <c r="N11" s="307"/>
      <c r="O11" s="307"/>
      <c r="P11" s="307"/>
      <c r="Q11" s="307"/>
      <c r="R11" s="307"/>
      <c r="S11" s="307"/>
      <c r="T11" s="307"/>
      <c r="U11" s="307"/>
      <c r="V11" s="307"/>
      <c r="W11" s="307"/>
      <c r="X11" s="307"/>
      <c r="Y11" s="307"/>
      <c r="Z11" s="307"/>
      <c r="AA11" s="307"/>
      <c r="AB11" s="307"/>
      <c r="AC11" s="307"/>
      <c r="AD11" s="307"/>
    </row>
    <row r="12" spans="1:30" ht="15.75" thickBot="1">
      <c r="A12" s="3"/>
      <c r="B12" s="800"/>
      <c r="C12" s="20"/>
      <c r="D12" s="27" t="s">
        <v>179</v>
      </c>
      <c r="E12" s="54">
        <f>E10/E11</f>
        <v>6.8300198077910643E-2</v>
      </c>
      <c r="F12" s="27"/>
      <c r="G12" s="20"/>
      <c r="H12" s="800"/>
      <c r="I12" s="20"/>
      <c r="J12" s="800"/>
      <c r="K12" s="3"/>
      <c r="L12" s="3"/>
      <c r="M12" s="3"/>
      <c r="N12" s="3"/>
      <c r="O12" s="3"/>
      <c r="P12" s="3"/>
      <c r="Q12" s="3"/>
      <c r="R12" s="3"/>
      <c r="S12" s="3"/>
      <c r="T12" s="3"/>
      <c r="U12" s="3"/>
      <c r="V12" s="3"/>
      <c r="W12" s="3"/>
      <c r="X12" s="3"/>
      <c r="Y12" s="3"/>
      <c r="Z12" s="3"/>
      <c r="AA12" s="3"/>
      <c r="AB12" s="3"/>
      <c r="AC12" s="3"/>
      <c r="AD12" s="3"/>
    </row>
    <row r="13" spans="1:30">
      <c r="A13" s="3"/>
      <c r="B13" s="800"/>
      <c r="C13" s="20"/>
      <c r="D13" s="27"/>
      <c r="E13" s="27"/>
      <c r="F13" s="27"/>
      <c r="G13" s="20"/>
      <c r="H13" s="800"/>
      <c r="I13" s="20"/>
      <c r="J13" s="800"/>
      <c r="K13" s="3"/>
      <c r="L13" s="3"/>
      <c r="M13" s="3"/>
      <c r="N13" s="3"/>
      <c r="O13" s="3"/>
      <c r="P13" s="3"/>
      <c r="Q13" s="3"/>
      <c r="R13" s="3"/>
      <c r="S13" s="3"/>
      <c r="T13" s="3"/>
      <c r="U13" s="3"/>
      <c r="V13" s="3"/>
      <c r="W13" s="3"/>
      <c r="X13" s="3"/>
      <c r="Y13" s="3"/>
      <c r="Z13" s="3"/>
      <c r="AA13" s="3"/>
      <c r="AB13" s="3"/>
      <c r="AC13" s="3"/>
      <c r="AD13" s="3"/>
    </row>
    <row r="14" spans="1:30">
      <c r="A14" s="3"/>
      <c r="B14" s="800"/>
      <c r="C14" s="20"/>
      <c r="D14" s="27" t="s">
        <v>178</v>
      </c>
      <c r="E14" s="450">
        <v>0</v>
      </c>
      <c r="F14" s="28" t="s">
        <v>64</v>
      </c>
      <c r="G14" s="20"/>
      <c r="H14" s="800"/>
      <c r="I14" s="20"/>
      <c r="J14" s="800"/>
      <c r="K14" s="3"/>
      <c r="L14" s="3"/>
      <c r="M14" s="3"/>
      <c r="N14" s="3"/>
      <c r="O14" s="3"/>
      <c r="P14" s="3"/>
      <c r="Q14" s="3"/>
      <c r="R14" s="3"/>
      <c r="S14" s="3"/>
      <c r="T14" s="3"/>
      <c r="U14" s="3"/>
      <c r="V14" s="3"/>
      <c r="W14" s="3"/>
      <c r="X14" s="3"/>
      <c r="Y14" s="3"/>
      <c r="Z14" s="3"/>
      <c r="AA14" s="3"/>
      <c r="AB14" s="3"/>
      <c r="AC14" s="3"/>
      <c r="AD14" s="3"/>
    </row>
    <row r="15" spans="1:30" ht="15.75" thickBot="1">
      <c r="A15" s="3"/>
      <c r="B15" s="800"/>
      <c r="C15" s="20"/>
      <c r="D15" s="27" t="s">
        <v>183</v>
      </c>
      <c r="E15" s="449">
        <f>(E14+1)/Introduction!F13</f>
        <v>3.6681094563861783E-5</v>
      </c>
      <c r="F15" s="27"/>
      <c r="G15" s="20"/>
      <c r="H15" s="800"/>
      <c r="I15" s="20"/>
      <c r="J15" s="800"/>
      <c r="K15" s="3"/>
      <c r="L15" s="3"/>
      <c r="M15" s="3"/>
      <c r="N15" s="3"/>
      <c r="O15" s="3"/>
      <c r="P15" s="3"/>
      <c r="Q15" s="3"/>
      <c r="R15" s="3"/>
      <c r="S15" s="3"/>
      <c r="T15" s="3"/>
      <c r="U15" s="3"/>
      <c r="V15" s="3"/>
      <c r="W15" s="3"/>
      <c r="X15" s="3"/>
      <c r="Y15" s="3"/>
      <c r="Z15" s="3"/>
      <c r="AA15" s="3"/>
      <c r="AB15" s="3"/>
      <c r="AC15" s="3"/>
      <c r="AD15" s="3"/>
    </row>
    <row r="16" spans="1:30" ht="15.75" thickBot="1">
      <c r="A16" s="3"/>
      <c r="B16" s="800"/>
      <c r="C16" s="20"/>
      <c r="D16" s="27" t="s">
        <v>185</v>
      </c>
      <c r="E16" s="55">
        <f>1-(E15/E12)</f>
        <v>0.99946294307196559</v>
      </c>
      <c r="F16" s="27"/>
      <c r="G16" s="20"/>
      <c r="H16" s="800"/>
      <c r="I16" s="20"/>
      <c r="J16" s="800"/>
      <c r="K16" s="3"/>
      <c r="L16" s="3"/>
      <c r="M16" s="3"/>
      <c r="N16" s="3"/>
      <c r="O16" s="3"/>
      <c r="P16" s="3"/>
      <c r="Q16" s="3"/>
      <c r="R16" s="3"/>
      <c r="S16" s="3"/>
      <c r="T16" s="3"/>
      <c r="U16" s="3"/>
      <c r="V16" s="3"/>
      <c r="W16" s="3"/>
      <c r="X16" s="3"/>
      <c r="Y16" s="3"/>
      <c r="Z16" s="3"/>
      <c r="AA16" s="3"/>
      <c r="AB16" s="3"/>
      <c r="AC16" s="3"/>
      <c r="AD16" s="3"/>
    </row>
    <row r="17" spans="1:30">
      <c r="A17" s="3"/>
      <c r="B17" s="801"/>
      <c r="C17" s="20"/>
      <c r="D17" s="27"/>
      <c r="E17" s="27"/>
      <c r="F17" s="27"/>
      <c r="G17" s="20"/>
      <c r="H17" s="801"/>
      <c r="I17" s="20"/>
      <c r="J17" s="801"/>
      <c r="K17" s="3"/>
      <c r="L17" s="3"/>
      <c r="M17" s="3"/>
      <c r="N17" s="3"/>
      <c r="O17" s="3"/>
      <c r="P17" s="3"/>
      <c r="Q17" s="3"/>
      <c r="R17" s="3"/>
      <c r="S17" s="3"/>
      <c r="T17" s="3"/>
      <c r="U17" s="3"/>
      <c r="V17" s="3"/>
      <c r="W17" s="3"/>
      <c r="X17" s="3"/>
      <c r="Y17" s="3"/>
      <c r="Z17" s="3"/>
      <c r="AA17" s="3"/>
      <c r="AB17" s="3"/>
      <c r="AC17" s="3"/>
      <c r="AD17" s="3"/>
    </row>
    <row r="18" spans="1:30">
      <c r="A18" s="3"/>
      <c r="B18" s="20"/>
      <c r="C18" s="20"/>
      <c r="D18" s="20"/>
      <c r="E18" s="20"/>
      <c r="F18" s="20"/>
      <c r="G18" s="20"/>
      <c r="H18" s="20"/>
      <c r="I18" s="20"/>
      <c r="J18" s="20"/>
      <c r="K18" s="3"/>
      <c r="L18" s="3"/>
      <c r="M18" s="3"/>
      <c r="N18" s="3"/>
      <c r="O18" s="3"/>
      <c r="P18" s="3"/>
      <c r="Q18" s="3"/>
      <c r="R18" s="3"/>
      <c r="S18" s="3"/>
      <c r="T18" s="3"/>
      <c r="U18" s="3"/>
      <c r="V18" s="3"/>
      <c r="W18" s="3"/>
      <c r="X18" s="3"/>
      <c r="Y18" s="3"/>
      <c r="Z18" s="3"/>
      <c r="AA18" s="3"/>
      <c r="AB18" s="3"/>
      <c r="AC18" s="3"/>
      <c r="AD18" s="3"/>
    </row>
    <row r="19" spans="1:30">
      <c r="A19" s="3"/>
      <c r="B19" s="799" t="s">
        <v>1030</v>
      </c>
      <c r="C19" s="20"/>
      <c r="D19" s="26" t="s">
        <v>187</v>
      </c>
      <c r="E19" s="26"/>
      <c r="F19" s="26"/>
      <c r="G19" s="20"/>
      <c r="H19" s="804" t="s">
        <v>188</v>
      </c>
      <c r="I19" s="20"/>
      <c r="J19" s="804"/>
      <c r="K19" s="3"/>
      <c r="L19" s="3"/>
      <c r="M19" s="3"/>
      <c r="N19" s="3"/>
      <c r="O19" s="3"/>
      <c r="P19" s="3"/>
      <c r="Q19" s="3"/>
      <c r="R19" s="3"/>
      <c r="S19" s="3"/>
      <c r="T19" s="3"/>
      <c r="U19" s="3"/>
      <c r="V19" s="3"/>
      <c r="W19" s="3"/>
      <c r="X19" s="3"/>
      <c r="Y19" s="3"/>
      <c r="Z19" s="3"/>
      <c r="AA19" s="3"/>
      <c r="AB19" s="3"/>
      <c r="AC19" s="3"/>
      <c r="AD19" s="3"/>
    </row>
    <row r="20" spans="1:30">
      <c r="A20" s="3"/>
      <c r="B20" s="800"/>
      <c r="C20" s="20"/>
      <c r="D20" s="56"/>
      <c r="E20" s="28"/>
      <c r="F20" s="28"/>
      <c r="G20" s="20"/>
      <c r="H20" s="800"/>
      <c r="I20" s="20"/>
      <c r="J20" s="800"/>
      <c r="K20" s="3"/>
      <c r="L20" s="3"/>
      <c r="M20" s="3"/>
      <c r="N20" s="3"/>
      <c r="O20" s="3"/>
      <c r="P20" s="3"/>
      <c r="Q20" s="3"/>
      <c r="R20" s="3"/>
      <c r="S20" s="3"/>
      <c r="T20" s="3"/>
      <c r="U20" s="3"/>
      <c r="V20" s="3"/>
      <c r="W20" s="3"/>
      <c r="X20" s="3"/>
      <c r="Y20" s="3"/>
      <c r="Z20" s="3"/>
      <c r="AA20" s="3"/>
      <c r="AB20" s="3"/>
      <c r="AC20" s="3"/>
      <c r="AD20" s="3"/>
    </row>
    <row r="21" spans="1:30">
      <c r="A21" s="3"/>
      <c r="B21" s="800"/>
      <c r="C21" s="20"/>
      <c r="D21" s="56" t="s">
        <v>189</v>
      </c>
      <c r="E21" s="340">
        <v>1362</v>
      </c>
      <c r="F21" s="28" t="s">
        <v>64</v>
      </c>
      <c r="G21" s="20"/>
      <c r="H21" s="800"/>
      <c r="I21" s="20"/>
      <c r="J21" s="800"/>
      <c r="K21" s="3"/>
      <c r="L21" s="3"/>
      <c r="M21" s="3"/>
      <c r="N21" s="3"/>
      <c r="O21" s="3"/>
      <c r="P21" s="3"/>
      <c r="Q21" s="3"/>
      <c r="R21" s="3"/>
      <c r="S21" s="3"/>
      <c r="T21" s="3"/>
      <c r="U21" s="3"/>
      <c r="V21" s="3"/>
      <c r="W21" s="3"/>
      <c r="X21" s="3"/>
      <c r="Y21" s="3"/>
      <c r="Z21" s="3"/>
      <c r="AA21" s="3"/>
      <c r="AB21" s="3"/>
      <c r="AC21" s="3"/>
      <c r="AD21" s="3"/>
    </row>
    <row r="22" spans="1:30">
      <c r="A22" s="3"/>
      <c r="B22" s="800"/>
      <c r="C22" s="20"/>
      <c r="D22" s="56" t="s">
        <v>192</v>
      </c>
      <c r="E22" s="340">
        <v>0</v>
      </c>
      <c r="F22" s="28" t="s">
        <v>64</v>
      </c>
      <c r="G22" s="20"/>
      <c r="H22" s="800"/>
      <c r="I22" s="20"/>
      <c r="J22" s="800"/>
      <c r="K22" s="3"/>
      <c r="L22" s="3"/>
      <c r="M22" s="3"/>
      <c r="N22" s="3"/>
      <c r="O22" s="3"/>
      <c r="P22" s="3"/>
      <c r="Q22" s="3"/>
      <c r="R22" s="3"/>
      <c r="S22" s="3"/>
      <c r="T22" s="3"/>
      <c r="U22" s="3"/>
      <c r="V22" s="3"/>
      <c r="W22" s="3"/>
      <c r="X22" s="3"/>
      <c r="Y22" s="3"/>
      <c r="Z22" s="3"/>
      <c r="AA22" s="3"/>
      <c r="AB22" s="3"/>
      <c r="AC22" s="3"/>
      <c r="AD22" s="3"/>
    </row>
    <row r="23" spans="1:30">
      <c r="A23" s="3"/>
      <c r="B23" s="800"/>
      <c r="C23" s="20"/>
      <c r="D23" s="27" t="s">
        <v>196</v>
      </c>
      <c r="E23" s="54">
        <f>E21/E10</f>
        <v>0.73147153598281422</v>
      </c>
      <c r="F23" s="56"/>
      <c r="G23" s="20"/>
      <c r="H23" s="800"/>
      <c r="I23" s="20"/>
      <c r="J23" s="800"/>
      <c r="K23" s="3"/>
      <c r="L23" s="3"/>
      <c r="M23" s="3"/>
      <c r="N23" s="3"/>
      <c r="O23" s="3"/>
      <c r="P23" s="3"/>
      <c r="Q23" s="3"/>
      <c r="R23" s="3"/>
      <c r="S23" s="3"/>
      <c r="T23" s="3"/>
      <c r="U23" s="3"/>
      <c r="V23" s="3"/>
      <c r="W23" s="3"/>
      <c r="X23" s="3"/>
      <c r="Y23" s="3"/>
      <c r="Z23" s="3"/>
      <c r="AA23" s="3"/>
      <c r="AB23" s="3"/>
      <c r="AC23" s="3"/>
      <c r="AD23" s="3"/>
    </row>
    <row r="24" spans="1:30">
      <c r="A24" s="3"/>
      <c r="B24" s="800"/>
      <c r="C24" s="20"/>
      <c r="D24" s="27" t="s">
        <v>195</v>
      </c>
      <c r="E24" s="54">
        <f>E22/E10</f>
        <v>0</v>
      </c>
      <c r="F24" s="56"/>
      <c r="G24" s="20"/>
      <c r="H24" s="800"/>
      <c r="I24" s="20"/>
      <c r="J24" s="800"/>
      <c r="K24" s="3"/>
      <c r="L24" s="3"/>
      <c r="M24" s="3"/>
      <c r="N24" s="3"/>
      <c r="O24" s="3"/>
      <c r="P24" s="3"/>
      <c r="Q24" s="3"/>
      <c r="R24" s="3"/>
      <c r="S24" s="3"/>
      <c r="T24" s="3"/>
      <c r="U24" s="3"/>
      <c r="V24" s="3"/>
      <c r="W24" s="3"/>
      <c r="X24" s="3"/>
      <c r="Y24" s="3"/>
      <c r="Z24" s="3"/>
      <c r="AA24" s="3"/>
      <c r="AB24" s="3"/>
      <c r="AC24" s="3"/>
      <c r="AD24" s="3"/>
    </row>
    <row r="25" spans="1:30">
      <c r="A25" s="3"/>
      <c r="B25" s="800"/>
      <c r="C25" s="20"/>
      <c r="D25" s="27" t="s">
        <v>1020</v>
      </c>
      <c r="E25" s="54">
        <f>E21/E11</f>
        <v>4.9959650795979749E-2</v>
      </c>
      <c r="F25" s="56"/>
      <c r="G25" s="20"/>
      <c r="H25" s="800"/>
      <c r="I25" s="20"/>
      <c r="J25" s="800"/>
      <c r="K25" s="3"/>
      <c r="L25" s="3"/>
      <c r="M25" s="3"/>
      <c r="N25" s="3"/>
      <c r="O25" s="3"/>
      <c r="P25" s="3"/>
      <c r="Q25" s="3"/>
      <c r="R25" s="3"/>
      <c r="S25" s="3"/>
      <c r="T25" s="3"/>
      <c r="U25" s="3"/>
      <c r="V25" s="3"/>
      <c r="W25" s="3"/>
      <c r="X25" s="3"/>
      <c r="Y25" s="3"/>
      <c r="Z25" s="3"/>
      <c r="AA25" s="3"/>
      <c r="AB25" s="3"/>
      <c r="AC25" s="3"/>
      <c r="AD25" s="3"/>
    </row>
    <row r="26" spans="1:30">
      <c r="A26" s="3"/>
      <c r="B26" s="801"/>
      <c r="C26" s="20"/>
      <c r="D26" s="56"/>
      <c r="E26" s="56"/>
      <c r="F26" s="57"/>
      <c r="G26" s="20"/>
      <c r="H26" s="801"/>
      <c r="I26" s="20"/>
      <c r="J26" s="801"/>
      <c r="K26" s="3"/>
      <c r="L26" s="3"/>
      <c r="M26" s="3"/>
      <c r="N26" s="3"/>
      <c r="O26" s="3"/>
      <c r="P26" s="3"/>
      <c r="Q26" s="3"/>
      <c r="R26" s="3"/>
      <c r="S26" s="3"/>
      <c r="T26" s="3"/>
      <c r="U26" s="3"/>
      <c r="V26" s="3"/>
      <c r="W26" s="3"/>
      <c r="X26" s="3"/>
      <c r="Y26" s="3"/>
      <c r="Z26" s="3"/>
      <c r="AA26" s="3"/>
      <c r="AB26" s="3"/>
      <c r="AC26" s="3"/>
      <c r="AD26" s="3"/>
    </row>
    <row r="27" spans="1:30" ht="15.7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row>
    <row r="28" spans="1:30" ht="15.7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row>
    <row r="29" spans="1:30" ht="15.75" customHeight="1">
      <c r="A29" s="3"/>
      <c r="B29" s="3"/>
      <c r="C29" s="3"/>
      <c r="D29" s="3"/>
      <c r="E29" s="3"/>
      <c r="F29" s="2"/>
      <c r="G29" s="3"/>
      <c r="H29" s="3"/>
      <c r="I29" s="3"/>
      <c r="J29" s="3"/>
      <c r="K29" s="3"/>
      <c r="L29" s="3"/>
      <c r="M29" s="3"/>
      <c r="N29" s="3"/>
      <c r="O29" s="3"/>
      <c r="P29" s="3"/>
      <c r="Q29" s="3"/>
      <c r="R29" s="3"/>
      <c r="S29" s="3"/>
      <c r="T29" s="3"/>
      <c r="U29" s="3"/>
      <c r="V29" s="3"/>
      <c r="W29" s="3"/>
      <c r="X29" s="3"/>
      <c r="Y29" s="3"/>
      <c r="Z29" s="3"/>
      <c r="AA29" s="3"/>
      <c r="AB29" s="3"/>
      <c r="AC29" s="3"/>
      <c r="AD29" s="3"/>
    </row>
    <row r="30" spans="1:30" ht="15.7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row>
    <row r="31" spans="1:30" ht="15.75"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row>
    <row r="32" spans="1:30" ht="15.7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1:30" ht="15.7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1:30" ht="15.75"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1:30" ht="15.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1:30" ht="15.7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1:30" ht="15.7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1:30" ht="15.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row>
    <row r="39" spans="1:30" ht="15.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row>
    <row r="40" spans="1:30" ht="15.7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row>
    <row r="41" spans="1:30" ht="15.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row>
    <row r="42" spans="1:30" ht="15.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row>
    <row r="43" spans="1:30" ht="15.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spans="1:30" ht="15.7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30" ht="15.7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row>
    <row r="46" spans="1:30" ht="15.7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row>
    <row r="47" spans="1:30" ht="15.7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row>
    <row r="48" spans="1:30" ht="15.7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1:30" ht="15.7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spans="1:30" ht="15.7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spans="1:30" ht="15.7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1:30" ht="15.7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0" ht="15.7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0" ht="15.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1:30" ht="15.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spans="1:30" ht="15.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spans="1:30" ht="15.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row>
    <row r="58" spans="1:30" ht="15.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row>
    <row r="59" spans="1:30" ht="15.7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row>
    <row r="60" spans="1:30" ht="15.7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row>
    <row r="61" spans="1:30" ht="15.7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row r="62" spans="1:30" ht="15.7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spans="1:30" ht="15.7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spans="1:30" ht="15.7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spans="1:30"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1:30"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1:30"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1:30"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1:30"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1:30"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1:30"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1:30"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1:30"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1:30"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1:30"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1:30"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0"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spans="1:30"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0"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1:30"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1:30"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1:30"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1:30"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spans="1:30"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spans="1:30"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spans="1:30"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spans="1:30"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spans="1:30"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spans="1:30"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row>
    <row r="90" spans="1:30"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row>
    <row r="91" spans="1:30"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row>
    <row r="92" spans="1:30"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row>
    <row r="93" spans="1:30"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row>
    <row r="94" spans="1:30"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row r="95" spans="1:30"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row r="96" spans="1:30"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row>
    <row r="97" spans="1:30"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row>
    <row r="98" spans="1:30"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spans="1:30"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spans="1:30"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spans="1:30"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row>
    <row r="102" spans="1:30"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spans="1:30"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row>
    <row r="104" spans="1:30"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row>
    <row r="105" spans="1:30"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spans="1:30"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spans="1:30"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spans="1:30"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row>
    <row r="109" spans="1:30"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spans="1:30"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row r="111" spans="1:30"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row>
    <row r="112" spans="1:30"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row r="113" spans="1:30"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spans="1:30"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spans="1:30"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spans="1:30"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row>
    <row r="117" spans="1:30"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row>
    <row r="118" spans="1:30"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row>
    <row r="119" spans="1:30"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row>
    <row r="120" spans="1:30"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row>
    <row r="121" spans="1:30"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row>
    <row r="122" spans="1:30"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row>
    <row r="123" spans="1:30"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row>
    <row r="124" spans="1:30"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row>
    <row r="125" spans="1:30"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row>
    <row r="126" spans="1:30"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row>
    <row r="127" spans="1:30"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row>
    <row r="128" spans="1:30"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row>
    <row r="129" spans="1:30"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row>
    <row r="130" spans="1:30"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row>
    <row r="131" spans="1:30"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row>
    <row r="132" spans="1:30"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row>
    <row r="133" spans="1:30"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row>
    <row r="134" spans="1:30"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row>
    <row r="135" spans="1:30"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row>
    <row r="136" spans="1:30"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row>
    <row r="137" spans="1:30"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row>
    <row r="138" spans="1:30"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row>
    <row r="139" spans="1:30"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row>
    <row r="140" spans="1:30"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row>
    <row r="141" spans="1:30"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row>
    <row r="142" spans="1:30"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row>
    <row r="143" spans="1:30"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row>
    <row r="144" spans="1:30"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row>
    <row r="145" spans="1:30"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row>
    <row r="146" spans="1:30"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row>
    <row r="147" spans="1:30"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row>
    <row r="148" spans="1:30"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row>
    <row r="149" spans="1:30"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row>
    <row r="150" spans="1:30"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row>
    <row r="151" spans="1:30"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row>
    <row r="152" spans="1:30"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row>
    <row r="153" spans="1:30"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row>
    <row r="154" spans="1:30" ht="15.75" customHeight="1">
      <c r="A154" s="3"/>
      <c r="B154" s="3"/>
      <c r="C154" s="3"/>
      <c r="D154" s="3"/>
      <c r="E154" s="3"/>
      <c r="F154" s="3"/>
      <c r="G154" s="3"/>
      <c r="H154" s="3"/>
      <c r="I154" s="3"/>
      <c r="J154" s="3"/>
      <c r="K154" s="3"/>
      <c r="L154" s="3"/>
      <c r="M154" s="3"/>
      <c r="N154" s="3"/>
      <c r="O154" s="3"/>
      <c r="P154" s="3"/>
    </row>
    <row r="155" spans="1:30" ht="15.75" customHeight="1">
      <c r="A155" s="3"/>
      <c r="B155" s="3"/>
      <c r="C155" s="3"/>
      <c r="D155" s="3"/>
      <c r="E155" s="3"/>
      <c r="F155" s="3"/>
      <c r="G155" s="3"/>
      <c r="H155" s="3"/>
      <c r="I155" s="3"/>
      <c r="J155" s="3"/>
      <c r="K155" s="3"/>
      <c r="L155" s="3"/>
      <c r="M155" s="3"/>
      <c r="N155" s="3"/>
      <c r="O155" s="3"/>
      <c r="P155" s="3"/>
    </row>
    <row r="156" spans="1:30" ht="15.75" customHeight="1">
      <c r="A156" s="3"/>
      <c r="B156" s="3"/>
      <c r="C156" s="3"/>
      <c r="D156" s="3"/>
      <c r="E156" s="3"/>
      <c r="F156" s="3"/>
      <c r="G156" s="3"/>
      <c r="H156" s="3"/>
      <c r="I156" s="3"/>
      <c r="J156" s="3"/>
      <c r="K156" s="3"/>
      <c r="L156" s="3"/>
      <c r="M156" s="3"/>
      <c r="N156" s="3"/>
      <c r="O156" s="3"/>
      <c r="P156" s="3"/>
    </row>
    <row r="157" spans="1:30" ht="15.75" customHeight="1">
      <c r="A157" s="3"/>
      <c r="B157" s="3"/>
      <c r="C157" s="3"/>
      <c r="D157" s="3"/>
      <c r="E157" s="3"/>
      <c r="F157" s="3"/>
      <c r="G157" s="3"/>
      <c r="H157" s="3"/>
      <c r="I157" s="3"/>
      <c r="J157" s="3"/>
      <c r="K157" s="3"/>
      <c r="L157" s="3"/>
      <c r="M157" s="3"/>
      <c r="N157" s="3"/>
      <c r="O157" s="3"/>
      <c r="P157" s="3"/>
    </row>
    <row r="158" spans="1:30" ht="15.75" customHeight="1">
      <c r="A158" s="3"/>
      <c r="B158" s="3"/>
      <c r="C158" s="3"/>
      <c r="D158" s="3"/>
      <c r="E158" s="3"/>
      <c r="F158" s="3"/>
      <c r="G158" s="3"/>
      <c r="H158" s="3"/>
      <c r="I158" s="3"/>
      <c r="J158" s="3"/>
      <c r="K158" s="3"/>
      <c r="L158" s="3"/>
      <c r="M158" s="3"/>
      <c r="N158" s="3"/>
      <c r="O158" s="3"/>
      <c r="P158" s="3"/>
    </row>
    <row r="159" spans="1:30" ht="15.75" customHeight="1">
      <c r="A159" s="3"/>
      <c r="B159" s="3"/>
      <c r="C159" s="3"/>
      <c r="D159" s="3"/>
      <c r="E159" s="3"/>
      <c r="F159" s="3"/>
      <c r="G159" s="3"/>
      <c r="H159" s="3"/>
      <c r="I159" s="3"/>
      <c r="J159" s="3"/>
      <c r="K159" s="3"/>
      <c r="L159" s="3"/>
      <c r="M159" s="3"/>
      <c r="N159" s="3"/>
      <c r="O159" s="3"/>
      <c r="P159" s="3"/>
    </row>
    <row r="160" spans="1:30" ht="15.75" customHeight="1">
      <c r="A160" s="3"/>
      <c r="B160" s="3"/>
      <c r="C160" s="3"/>
      <c r="D160" s="3"/>
      <c r="E160" s="3"/>
      <c r="F160" s="3"/>
      <c r="G160" s="3"/>
      <c r="H160" s="3"/>
      <c r="I160" s="3"/>
      <c r="J160" s="3"/>
      <c r="K160" s="3"/>
      <c r="L160" s="3"/>
      <c r="M160" s="3"/>
      <c r="N160" s="3"/>
      <c r="O160" s="3"/>
      <c r="P160" s="3"/>
    </row>
    <row r="161" spans="1:16" ht="15.75" customHeight="1">
      <c r="A161" s="3"/>
      <c r="B161" s="3"/>
      <c r="C161" s="3"/>
      <c r="D161" s="3"/>
      <c r="E161" s="3"/>
      <c r="F161" s="3"/>
      <c r="G161" s="3"/>
      <c r="H161" s="3"/>
      <c r="I161" s="3"/>
      <c r="J161" s="3"/>
      <c r="K161" s="3"/>
      <c r="L161" s="3"/>
      <c r="M161" s="3"/>
      <c r="N161" s="3"/>
      <c r="O161" s="3"/>
      <c r="P161" s="3"/>
    </row>
    <row r="162" spans="1:16" ht="15.75" customHeight="1">
      <c r="A162" s="3"/>
      <c r="B162" s="3"/>
      <c r="C162" s="3"/>
      <c r="D162" s="3"/>
      <c r="E162" s="3"/>
      <c r="F162" s="3"/>
      <c r="G162" s="3"/>
      <c r="H162" s="3"/>
      <c r="I162" s="3"/>
      <c r="J162" s="3"/>
      <c r="K162" s="3"/>
      <c r="L162" s="3"/>
      <c r="M162" s="3"/>
      <c r="N162" s="3"/>
      <c r="O162" s="3"/>
      <c r="P162" s="3"/>
    </row>
    <row r="163" spans="1:16" ht="15.75" customHeight="1">
      <c r="A163" s="3"/>
      <c r="B163" s="3"/>
      <c r="C163" s="3"/>
      <c r="D163" s="3"/>
      <c r="E163" s="3"/>
      <c r="F163" s="3"/>
      <c r="G163" s="3"/>
      <c r="H163" s="3"/>
      <c r="I163" s="3"/>
      <c r="J163" s="3"/>
      <c r="K163" s="3"/>
      <c r="L163" s="3"/>
      <c r="M163" s="3"/>
      <c r="N163" s="3"/>
      <c r="O163" s="3"/>
      <c r="P163" s="3"/>
    </row>
    <row r="164" spans="1:16" ht="15.75" customHeight="1">
      <c r="A164" s="3"/>
      <c r="B164" s="3"/>
      <c r="C164" s="3"/>
      <c r="D164" s="3"/>
      <c r="E164" s="3"/>
      <c r="F164" s="3"/>
      <c r="G164" s="3"/>
      <c r="H164" s="3"/>
      <c r="I164" s="3"/>
      <c r="J164" s="3"/>
      <c r="K164" s="3"/>
      <c r="L164" s="3"/>
      <c r="M164" s="3"/>
      <c r="N164" s="3"/>
      <c r="O164" s="3"/>
      <c r="P164" s="3"/>
    </row>
    <row r="165" spans="1:16" ht="15.75" customHeight="1">
      <c r="A165" s="3"/>
      <c r="B165" s="3"/>
      <c r="C165" s="3"/>
      <c r="D165" s="3"/>
      <c r="E165" s="3"/>
      <c r="F165" s="3"/>
      <c r="G165" s="3"/>
      <c r="H165" s="3"/>
      <c r="I165" s="3"/>
      <c r="J165" s="3"/>
      <c r="K165" s="3"/>
      <c r="L165" s="3"/>
      <c r="M165" s="3"/>
      <c r="N165" s="3"/>
      <c r="O165" s="3"/>
      <c r="P165" s="3"/>
    </row>
    <row r="166" spans="1:16" ht="15.75" customHeight="1">
      <c r="A166" s="3"/>
      <c r="B166" s="3"/>
      <c r="C166" s="3"/>
      <c r="D166" s="3"/>
      <c r="E166" s="3"/>
      <c r="F166" s="3"/>
      <c r="G166" s="3"/>
      <c r="H166" s="3"/>
      <c r="I166" s="3"/>
      <c r="J166" s="3"/>
      <c r="K166" s="3"/>
      <c r="L166" s="3"/>
      <c r="M166" s="3"/>
      <c r="N166" s="3"/>
      <c r="O166" s="3"/>
      <c r="P166" s="3"/>
    </row>
    <row r="167" spans="1:16" ht="15.75" customHeight="1">
      <c r="A167" s="3"/>
      <c r="B167" s="3"/>
      <c r="C167" s="3"/>
      <c r="D167" s="3"/>
      <c r="E167" s="3"/>
      <c r="F167" s="3"/>
      <c r="G167" s="3"/>
      <c r="H167" s="3"/>
      <c r="I167" s="3"/>
      <c r="J167" s="3"/>
      <c r="K167" s="3"/>
      <c r="L167" s="3"/>
      <c r="M167" s="3"/>
      <c r="N167" s="3"/>
      <c r="O167" s="3"/>
      <c r="P167" s="3"/>
    </row>
    <row r="168" spans="1:16" ht="15.75" customHeight="1">
      <c r="A168" s="3"/>
      <c r="B168" s="3"/>
      <c r="C168" s="3"/>
      <c r="D168" s="3"/>
      <c r="E168" s="3"/>
      <c r="F168" s="3"/>
      <c r="G168" s="3"/>
      <c r="H168" s="3"/>
      <c r="I168" s="3"/>
      <c r="J168" s="3"/>
      <c r="K168" s="3"/>
      <c r="L168" s="3"/>
      <c r="M168" s="3"/>
      <c r="N168" s="3"/>
      <c r="O168" s="3"/>
      <c r="P168" s="3"/>
    </row>
    <row r="169" spans="1:16" ht="15.75" customHeight="1">
      <c r="A169" s="3"/>
      <c r="B169" s="3"/>
      <c r="C169" s="3"/>
      <c r="D169" s="3"/>
      <c r="E169" s="3"/>
      <c r="F169" s="3"/>
      <c r="G169" s="3"/>
      <c r="H169" s="3"/>
      <c r="I169" s="3"/>
      <c r="J169" s="3"/>
      <c r="K169" s="3"/>
      <c r="L169" s="3"/>
      <c r="M169" s="3"/>
      <c r="N169" s="3"/>
      <c r="O169" s="3"/>
      <c r="P169" s="3"/>
    </row>
    <row r="170" spans="1:16" ht="15.75" customHeight="1">
      <c r="A170" s="3"/>
      <c r="B170" s="3"/>
      <c r="C170" s="3"/>
      <c r="D170" s="3"/>
      <c r="E170" s="3"/>
      <c r="F170" s="3"/>
      <c r="G170" s="3"/>
      <c r="H170" s="3"/>
      <c r="I170" s="3"/>
      <c r="J170" s="3"/>
      <c r="K170" s="3"/>
      <c r="L170" s="3"/>
      <c r="M170" s="3"/>
      <c r="N170" s="3"/>
      <c r="O170" s="3"/>
      <c r="P170" s="3"/>
    </row>
    <row r="171" spans="1:16" ht="15.75" customHeight="1">
      <c r="A171" s="3"/>
      <c r="B171" s="3"/>
      <c r="C171" s="3"/>
      <c r="D171" s="3"/>
      <c r="E171" s="3"/>
      <c r="F171" s="3"/>
      <c r="G171" s="3"/>
      <c r="H171" s="3"/>
      <c r="I171" s="3"/>
      <c r="J171" s="3"/>
      <c r="K171" s="3"/>
      <c r="L171" s="3"/>
      <c r="M171" s="3"/>
      <c r="N171" s="3"/>
      <c r="O171" s="3"/>
      <c r="P171" s="3"/>
    </row>
    <row r="172" spans="1:16" ht="15.75" customHeight="1">
      <c r="A172" s="3"/>
      <c r="B172" s="3"/>
      <c r="C172" s="3"/>
      <c r="D172" s="3"/>
      <c r="E172" s="3"/>
      <c r="F172" s="3"/>
      <c r="G172" s="3"/>
      <c r="H172" s="3"/>
      <c r="I172" s="3"/>
      <c r="J172" s="3"/>
      <c r="K172" s="3"/>
      <c r="L172" s="3"/>
      <c r="M172" s="3"/>
      <c r="N172" s="3"/>
      <c r="O172" s="3"/>
      <c r="P172" s="3"/>
    </row>
    <row r="173" spans="1:16" ht="15.75" customHeight="1">
      <c r="A173" s="3"/>
      <c r="B173" s="3"/>
      <c r="C173" s="3"/>
      <c r="D173" s="3"/>
      <c r="E173" s="3"/>
      <c r="F173" s="3"/>
      <c r="G173" s="3"/>
      <c r="H173" s="3"/>
      <c r="I173" s="3"/>
      <c r="J173" s="3"/>
      <c r="K173" s="3"/>
      <c r="L173" s="3"/>
      <c r="M173" s="3"/>
      <c r="N173" s="3"/>
      <c r="O173" s="3"/>
      <c r="P173" s="3"/>
    </row>
    <row r="174" spans="1:16" ht="15.75" customHeight="1">
      <c r="A174" s="3"/>
      <c r="B174" s="3"/>
      <c r="C174" s="3"/>
      <c r="D174" s="3"/>
      <c r="E174" s="3"/>
      <c r="F174" s="3"/>
      <c r="G174" s="3"/>
      <c r="H174" s="3"/>
      <c r="I174" s="3"/>
      <c r="J174" s="3"/>
      <c r="K174" s="3"/>
      <c r="L174" s="3"/>
      <c r="M174" s="3"/>
      <c r="N174" s="3"/>
      <c r="O174" s="3"/>
      <c r="P174" s="3"/>
    </row>
    <row r="175" spans="1:16" ht="15.75" customHeight="1">
      <c r="A175" s="3"/>
      <c r="B175" s="3"/>
      <c r="C175" s="3"/>
      <c r="D175" s="3"/>
      <c r="E175" s="3"/>
      <c r="F175" s="3"/>
      <c r="G175" s="3"/>
      <c r="H175" s="3"/>
      <c r="I175" s="3"/>
      <c r="J175" s="3"/>
      <c r="K175" s="3"/>
      <c r="L175" s="3"/>
      <c r="M175" s="3"/>
      <c r="N175" s="3"/>
      <c r="O175" s="3"/>
      <c r="P175" s="3"/>
    </row>
    <row r="176" spans="1:16" ht="15.75" customHeight="1">
      <c r="A176" s="3"/>
      <c r="B176" s="3"/>
      <c r="C176" s="3"/>
      <c r="D176" s="3"/>
      <c r="E176" s="3"/>
      <c r="F176" s="3"/>
      <c r="G176" s="3"/>
      <c r="H176" s="3"/>
      <c r="I176" s="3"/>
      <c r="J176" s="3"/>
      <c r="K176" s="3"/>
      <c r="L176" s="3"/>
      <c r="M176" s="3"/>
      <c r="N176" s="3"/>
      <c r="O176" s="3"/>
      <c r="P176" s="3"/>
    </row>
    <row r="177" spans="1:16" ht="15.75" customHeight="1">
      <c r="A177" s="3"/>
      <c r="B177" s="3"/>
      <c r="C177" s="3"/>
      <c r="D177" s="3"/>
      <c r="E177" s="3"/>
      <c r="F177" s="3"/>
      <c r="G177" s="3"/>
      <c r="H177" s="3"/>
      <c r="I177" s="3"/>
      <c r="J177" s="3"/>
      <c r="K177" s="3"/>
      <c r="L177" s="3"/>
      <c r="M177" s="3"/>
      <c r="N177" s="3"/>
      <c r="O177" s="3"/>
      <c r="P177" s="3"/>
    </row>
    <row r="178" spans="1:16" ht="15.75" customHeight="1">
      <c r="A178" s="3"/>
      <c r="B178" s="3"/>
      <c r="C178" s="3"/>
      <c r="D178" s="3"/>
      <c r="E178" s="3"/>
      <c r="F178" s="3"/>
      <c r="G178" s="3"/>
      <c r="H178" s="3"/>
      <c r="I178" s="3"/>
      <c r="J178" s="3"/>
      <c r="K178" s="3"/>
      <c r="L178" s="3"/>
      <c r="M178" s="3"/>
      <c r="N178" s="3"/>
      <c r="O178" s="3"/>
      <c r="P178" s="3"/>
    </row>
    <row r="179" spans="1:16" ht="15.75" customHeight="1">
      <c r="A179" s="3"/>
      <c r="B179" s="3"/>
      <c r="C179" s="3"/>
      <c r="D179" s="3"/>
      <c r="E179" s="3"/>
      <c r="F179" s="3"/>
      <c r="G179" s="3"/>
      <c r="H179" s="3"/>
      <c r="I179" s="3"/>
      <c r="J179" s="3"/>
      <c r="K179" s="3"/>
      <c r="L179" s="3"/>
      <c r="M179" s="3"/>
      <c r="N179" s="3"/>
      <c r="O179" s="3"/>
      <c r="P179" s="3"/>
    </row>
    <row r="180" spans="1:16" ht="15.75" customHeight="1">
      <c r="A180" s="3"/>
      <c r="B180" s="3"/>
      <c r="C180" s="3"/>
      <c r="D180" s="3"/>
      <c r="E180" s="3"/>
      <c r="F180" s="3"/>
      <c r="G180" s="3"/>
      <c r="H180" s="3"/>
      <c r="I180" s="3"/>
      <c r="J180" s="3"/>
      <c r="K180" s="3"/>
      <c r="L180" s="3"/>
      <c r="M180" s="3"/>
      <c r="N180" s="3"/>
      <c r="O180" s="3"/>
      <c r="P180" s="3"/>
    </row>
    <row r="181" spans="1:16" ht="15.75" customHeight="1">
      <c r="A181" s="3"/>
      <c r="B181" s="3"/>
      <c r="C181" s="3"/>
      <c r="D181" s="3"/>
      <c r="E181" s="3"/>
      <c r="F181" s="3"/>
      <c r="G181" s="3"/>
      <c r="H181" s="3"/>
      <c r="I181" s="3"/>
      <c r="J181" s="3"/>
      <c r="K181" s="3"/>
      <c r="L181" s="3"/>
      <c r="M181" s="3"/>
      <c r="N181" s="3"/>
      <c r="O181" s="3"/>
      <c r="P181" s="3"/>
    </row>
    <row r="182" spans="1:16" ht="15.75" customHeight="1">
      <c r="A182" s="3"/>
      <c r="B182" s="3"/>
      <c r="C182" s="3"/>
      <c r="D182" s="3"/>
      <c r="E182" s="3"/>
      <c r="F182" s="3"/>
      <c r="G182" s="3"/>
      <c r="H182" s="3"/>
      <c r="I182" s="3"/>
      <c r="J182" s="3"/>
      <c r="K182" s="3"/>
      <c r="L182" s="3"/>
      <c r="M182" s="3"/>
      <c r="N182" s="3"/>
      <c r="O182" s="3"/>
      <c r="P182" s="3"/>
    </row>
    <row r="183" spans="1:16" ht="15.75" customHeight="1">
      <c r="A183" s="3"/>
      <c r="B183" s="3"/>
      <c r="C183" s="3"/>
      <c r="D183" s="3"/>
      <c r="E183" s="3"/>
      <c r="F183" s="3"/>
      <c r="G183" s="3"/>
      <c r="H183" s="3"/>
      <c r="I183" s="3"/>
      <c r="J183" s="3"/>
      <c r="K183" s="3"/>
      <c r="L183" s="3"/>
      <c r="M183" s="3"/>
      <c r="N183" s="3"/>
      <c r="O183" s="3"/>
      <c r="P183" s="3"/>
    </row>
    <row r="184" spans="1:16" ht="15.75" customHeight="1">
      <c r="A184" s="3"/>
      <c r="B184" s="3"/>
      <c r="C184" s="3"/>
      <c r="D184" s="3"/>
      <c r="E184" s="3"/>
      <c r="F184" s="3"/>
      <c r="G184" s="3"/>
      <c r="H184" s="3"/>
      <c r="I184" s="3"/>
      <c r="J184" s="3"/>
      <c r="K184" s="3"/>
      <c r="L184" s="3"/>
      <c r="M184" s="3"/>
      <c r="N184" s="3"/>
      <c r="O184" s="3"/>
      <c r="P184" s="3"/>
    </row>
    <row r="185" spans="1:16" ht="15.75" customHeight="1">
      <c r="A185" s="3"/>
      <c r="B185" s="3"/>
      <c r="C185" s="3"/>
      <c r="D185" s="3"/>
      <c r="E185" s="3"/>
      <c r="F185" s="3"/>
      <c r="G185" s="3"/>
      <c r="H185" s="3"/>
      <c r="I185" s="3"/>
      <c r="J185" s="3"/>
      <c r="K185" s="3"/>
      <c r="L185" s="3"/>
      <c r="M185" s="3"/>
      <c r="N185" s="3"/>
      <c r="O185" s="3"/>
      <c r="P185" s="3"/>
    </row>
    <row r="186" spans="1:16" ht="15.75" customHeight="1">
      <c r="A186" s="3"/>
      <c r="B186" s="3"/>
      <c r="C186" s="3"/>
      <c r="D186" s="3"/>
      <c r="E186" s="3"/>
      <c r="F186" s="3"/>
      <c r="G186" s="3"/>
      <c r="H186" s="3"/>
      <c r="I186" s="3"/>
      <c r="J186" s="3"/>
      <c r="K186" s="3"/>
      <c r="L186" s="3"/>
      <c r="M186" s="3"/>
      <c r="N186" s="3"/>
      <c r="O186" s="3"/>
      <c r="P186" s="3"/>
    </row>
    <row r="187" spans="1:16" ht="15.75" customHeight="1">
      <c r="A187" s="3"/>
      <c r="B187" s="3"/>
      <c r="C187" s="3"/>
      <c r="D187" s="3"/>
      <c r="E187" s="3"/>
      <c r="F187" s="3"/>
      <c r="G187" s="3"/>
      <c r="H187" s="3"/>
      <c r="I187" s="3"/>
      <c r="J187" s="3"/>
      <c r="K187" s="3"/>
      <c r="L187" s="3"/>
      <c r="M187" s="3"/>
      <c r="N187" s="3"/>
      <c r="O187" s="3"/>
      <c r="P187" s="3"/>
    </row>
    <row r="188" spans="1:16" ht="15.75" customHeight="1">
      <c r="A188" s="3"/>
      <c r="B188" s="3"/>
      <c r="C188" s="3"/>
      <c r="D188" s="3"/>
      <c r="E188" s="3"/>
      <c r="F188" s="3"/>
      <c r="G188" s="3"/>
      <c r="H188" s="3"/>
      <c r="I188" s="3"/>
      <c r="J188" s="3"/>
      <c r="K188" s="3"/>
      <c r="L188" s="3"/>
      <c r="M188" s="3"/>
      <c r="N188" s="3"/>
      <c r="O188" s="3"/>
      <c r="P188" s="3"/>
    </row>
    <row r="189" spans="1:16" ht="15.75" customHeight="1">
      <c r="A189" s="3"/>
      <c r="B189" s="3"/>
      <c r="C189" s="3"/>
      <c r="D189" s="3"/>
      <c r="E189" s="3"/>
      <c r="F189" s="3"/>
      <c r="G189" s="3"/>
      <c r="H189" s="3"/>
      <c r="I189" s="3"/>
      <c r="J189" s="3"/>
      <c r="K189" s="3"/>
      <c r="L189" s="3"/>
      <c r="M189" s="3"/>
      <c r="N189" s="3"/>
      <c r="O189" s="3"/>
      <c r="P189" s="3"/>
    </row>
    <row r="190" spans="1:16" ht="15.75" customHeight="1">
      <c r="A190" s="3"/>
      <c r="B190" s="3"/>
      <c r="C190" s="3"/>
      <c r="D190" s="3"/>
      <c r="E190" s="3"/>
      <c r="F190" s="3"/>
      <c r="G190" s="3"/>
      <c r="H190" s="3"/>
      <c r="I190" s="3"/>
      <c r="J190" s="3"/>
      <c r="K190" s="3"/>
      <c r="L190" s="3"/>
      <c r="M190" s="3"/>
      <c r="N190" s="3"/>
      <c r="O190" s="3"/>
      <c r="P190" s="3"/>
    </row>
    <row r="191" spans="1:16" ht="15.75" customHeight="1">
      <c r="A191" s="3"/>
      <c r="B191" s="3"/>
      <c r="C191" s="3"/>
      <c r="D191" s="3"/>
      <c r="E191" s="3"/>
      <c r="F191" s="3"/>
      <c r="G191" s="3"/>
      <c r="H191" s="3"/>
      <c r="I191" s="3"/>
      <c r="J191" s="3"/>
      <c r="K191" s="3"/>
      <c r="L191" s="3"/>
      <c r="M191" s="3"/>
      <c r="N191" s="3"/>
      <c r="O191" s="3"/>
      <c r="P191" s="3"/>
    </row>
    <row r="192" spans="1:16" ht="15.75" customHeight="1">
      <c r="A192" s="3"/>
      <c r="B192" s="3"/>
      <c r="C192" s="3"/>
      <c r="D192" s="3"/>
      <c r="E192" s="3"/>
      <c r="F192" s="3"/>
      <c r="G192" s="3"/>
      <c r="H192" s="3"/>
      <c r="I192" s="3"/>
      <c r="J192" s="3"/>
      <c r="K192" s="3"/>
      <c r="L192" s="3"/>
      <c r="M192" s="3"/>
      <c r="N192" s="3"/>
      <c r="O192" s="3"/>
      <c r="P192" s="3"/>
    </row>
    <row r="193" spans="1:16" ht="15.75" customHeight="1">
      <c r="A193" s="3"/>
      <c r="B193" s="3"/>
      <c r="C193" s="3"/>
      <c r="D193" s="3"/>
      <c r="E193" s="3"/>
      <c r="F193" s="3"/>
      <c r="G193" s="3"/>
      <c r="H193" s="3"/>
      <c r="I193" s="3"/>
      <c r="J193" s="3"/>
      <c r="K193" s="3"/>
      <c r="L193" s="3"/>
      <c r="M193" s="3"/>
      <c r="N193" s="3"/>
      <c r="O193" s="3"/>
      <c r="P193" s="3"/>
    </row>
    <row r="194" spans="1:16" ht="15.75" customHeight="1">
      <c r="A194" s="3"/>
      <c r="B194" s="3"/>
      <c r="C194" s="3"/>
      <c r="D194" s="3"/>
      <c r="E194" s="3"/>
      <c r="F194" s="3"/>
      <c r="G194" s="3"/>
      <c r="H194" s="3"/>
      <c r="I194" s="3"/>
      <c r="J194" s="3"/>
      <c r="K194" s="3"/>
      <c r="L194" s="3"/>
      <c r="M194" s="3"/>
      <c r="N194" s="3"/>
      <c r="O194" s="3"/>
      <c r="P194" s="3"/>
    </row>
    <row r="195" spans="1:16" ht="15.75" customHeight="1">
      <c r="A195" s="3"/>
      <c r="B195" s="3"/>
      <c r="C195" s="3"/>
      <c r="D195" s="3"/>
      <c r="E195" s="3"/>
      <c r="F195" s="3"/>
      <c r="G195" s="3"/>
      <c r="H195" s="3"/>
      <c r="I195" s="3"/>
      <c r="J195" s="3"/>
      <c r="K195" s="3"/>
      <c r="L195" s="3"/>
      <c r="M195" s="3"/>
      <c r="N195" s="3"/>
      <c r="O195" s="3"/>
      <c r="P195" s="3"/>
    </row>
    <row r="196" spans="1:16" ht="15.75" customHeight="1">
      <c r="A196" s="3"/>
      <c r="B196" s="3"/>
      <c r="C196" s="3"/>
      <c r="D196" s="3"/>
      <c r="E196" s="3"/>
      <c r="F196" s="3"/>
      <c r="G196" s="3"/>
      <c r="H196" s="3"/>
      <c r="I196" s="3"/>
      <c r="J196" s="3"/>
      <c r="K196" s="3"/>
      <c r="L196" s="3"/>
      <c r="M196" s="3"/>
      <c r="N196" s="3"/>
      <c r="O196" s="3"/>
      <c r="P196" s="3"/>
    </row>
    <row r="197" spans="1:16" ht="15.75" customHeight="1">
      <c r="A197" s="3"/>
      <c r="B197" s="3"/>
      <c r="C197" s="3"/>
      <c r="D197" s="3"/>
      <c r="E197" s="3"/>
      <c r="F197" s="3"/>
      <c r="G197" s="3"/>
      <c r="H197" s="3"/>
      <c r="I197" s="3"/>
      <c r="J197" s="3"/>
      <c r="K197" s="3"/>
      <c r="L197" s="3"/>
      <c r="M197" s="3"/>
      <c r="N197" s="3"/>
      <c r="O197" s="3"/>
      <c r="P197" s="3"/>
    </row>
    <row r="198" spans="1:16" ht="15.75" customHeight="1">
      <c r="A198" s="3"/>
      <c r="B198" s="3"/>
      <c r="C198" s="3"/>
      <c r="D198" s="3"/>
      <c r="E198" s="3"/>
      <c r="F198" s="3"/>
      <c r="G198" s="3"/>
      <c r="H198" s="3"/>
      <c r="I198" s="3"/>
      <c r="J198" s="3"/>
      <c r="K198" s="3"/>
      <c r="L198" s="3"/>
      <c r="M198" s="3"/>
      <c r="N198" s="3"/>
      <c r="O198" s="3"/>
      <c r="P198" s="3"/>
    </row>
    <row r="199" spans="1:16" ht="15.75" customHeight="1">
      <c r="A199" s="3"/>
      <c r="B199" s="3"/>
      <c r="C199" s="3"/>
      <c r="D199" s="3"/>
      <c r="E199" s="3"/>
      <c r="F199" s="3"/>
      <c r="G199" s="3"/>
      <c r="H199" s="3"/>
      <c r="I199" s="3"/>
      <c r="J199" s="3"/>
      <c r="K199" s="3"/>
      <c r="L199" s="3"/>
      <c r="M199" s="3"/>
      <c r="N199" s="3"/>
      <c r="O199" s="3"/>
      <c r="P199" s="3"/>
    </row>
    <row r="200" spans="1:16" ht="15.75" customHeight="1">
      <c r="A200" s="3"/>
      <c r="B200" s="3"/>
      <c r="C200" s="3"/>
      <c r="D200" s="3"/>
      <c r="E200" s="3"/>
      <c r="F200" s="3"/>
      <c r="G200" s="3"/>
      <c r="H200" s="3"/>
      <c r="I200" s="3"/>
      <c r="J200" s="3"/>
      <c r="K200" s="3"/>
      <c r="L200" s="3"/>
      <c r="M200" s="3"/>
      <c r="N200" s="3"/>
      <c r="O200" s="3"/>
      <c r="P200" s="3"/>
    </row>
    <row r="201" spans="1:16" ht="15.75" customHeight="1">
      <c r="A201" s="3"/>
      <c r="B201" s="3"/>
      <c r="C201" s="3"/>
      <c r="D201" s="3"/>
      <c r="E201" s="3"/>
      <c r="F201" s="3"/>
      <c r="G201" s="3"/>
      <c r="H201" s="3"/>
      <c r="I201" s="3"/>
      <c r="J201" s="3"/>
      <c r="K201" s="3"/>
      <c r="L201" s="3"/>
      <c r="M201" s="3"/>
      <c r="N201" s="3"/>
      <c r="O201" s="3"/>
      <c r="P201" s="3"/>
    </row>
    <row r="202" spans="1:16" ht="15.75" customHeight="1">
      <c r="A202" s="3"/>
      <c r="B202" s="3"/>
      <c r="C202" s="3"/>
      <c r="D202" s="3"/>
      <c r="E202" s="3"/>
      <c r="F202" s="3"/>
      <c r="G202" s="3"/>
      <c r="H202" s="3"/>
      <c r="I202" s="3"/>
      <c r="J202" s="3"/>
      <c r="K202" s="3"/>
      <c r="L202" s="3"/>
      <c r="M202" s="3"/>
      <c r="N202" s="3"/>
      <c r="O202" s="3"/>
      <c r="P202" s="3"/>
    </row>
    <row r="203" spans="1:16" ht="15.75" customHeight="1">
      <c r="A203" s="3"/>
      <c r="B203" s="3"/>
      <c r="C203" s="3"/>
      <c r="D203" s="3"/>
      <c r="E203" s="3"/>
      <c r="F203" s="3"/>
      <c r="G203" s="3"/>
      <c r="H203" s="3"/>
      <c r="I203" s="3"/>
      <c r="J203" s="3"/>
      <c r="K203" s="3"/>
      <c r="L203" s="3"/>
      <c r="M203" s="3"/>
      <c r="N203" s="3"/>
      <c r="O203" s="3"/>
      <c r="P203" s="3"/>
    </row>
    <row r="204" spans="1:16" ht="15.75" customHeight="1">
      <c r="A204" s="3"/>
      <c r="B204" s="3"/>
      <c r="C204" s="3"/>
      <c r="D204" s="3"/>
      <c r="E204" s="3"/>
      <c r="F204" s="3"/>
      <c r="G204" s="3"/>
      <c r="H204" s="3"/>
      <c r="I204" s="3"/>
      <c r="J204" s="3"/>
      <c r="K204" s="3"/>
      <c r="L204" s="3"/>
      <c r="M204" s="3"/>
      <c r="N204" s="3"/>
      <c r="O204" s="3"/>
      <c r="P204" s="3"/>
    </row>
    <row r="205" spans="1:16" ht="15.75" customHeight="1">
      <c r="A205" s="3"/>
      <c r="B205" s="3"/>
      <c r="C205" s="3"/>
      <c r="D205" s="3"/>
      <c r="E205" s="3"/>
      <c r="F205" s="3"/>
      <c r="G205" s="3"/>
      <c r="H205" s="3"/>
      <c r="I205" s="3"/>
      <c r="J205" s="3"/>
      <c r="K205" s="3"/>
      <c r="L205" s="3"/>
      <c r="M205" s="3"/>
      <c r="N205" s="3"/>
      <c r="O205" s="3"/>
      <c r="P205" s="3"/>
    </row>
    <row r="206" spans="1:16" ht="15.75" customHeight="1">
      <c r="A206" s="3"/>
      <c r="B206" s="3"/>
      <c r="C206" s="3"/>
      <c r="D206" s="3"/>
      <c r="E206" s="3"/>
      <c r="F206" s="3"/>
      <c r="G206" s="3"/>
      <c r="H206" s="3"/>
      <c r="I206" s="3"/>
      <c r="J206" s="3"/>
      <c r="K206" s="3"/>
      <c r="L206" s="3"/>
      <c r="M206" s="3"/>
      <c r="N206" s="3"/>
      <c r="O206" s="3"/>
      <c r="P206" s="3"/>
    </row>
    <row r="207" spans="1:16" ht="15.75" customHeight="1">
      <c r="A207" s="3"/>
      <c r="B207" s="3"/>
      <c r="C207" s="3"/>
      <c r="D207" s="3"/>
      <c r="E207" s="3"/>
      <c r="F207" s="3"/>
      <c r="G207" s="3"/>
      <c r="H207" s="3"/>
      <c r="I207" s="3"/>
      <c r="J207" s="3"/>
      <c r="K207" s="3"/>
      <c r="L207" s="3"/>
      <c r="M207" s="3"/>
      <c r="N207" s="3"/>
      <c r="O207" s="3"/>
      <c r="P207" s="3"/>
    </row>
    <row r="208" spans="1:16" ht="15.75" customHeight="1">
      <c r="A208" s="3"/>
      <c r="B208" s="3"/>
      <c r="C208" s="3"/>
      <c r="D208" s="3"/>
      <c r="E208" s="3"/>
      <c r="F208" s="3"/>
      <c r="G208" s="3"/>
      <c r="H208" s="3"/>
      <c r="I208" s="3"/>
      <c r="J208" s="3"/>
      <c r="K208" s="3"/>
      <c r="L208" s="3"/>
      <c r="M208" s="3"/>
      <c r="N208" s="3"/>
      <c r="O208" s="3"/>
      <c r="P208" s="3"/>
    </row>
    <row r="209" spans="1:16" ht="15.75" customHeight="1">
      <c r="A209" s="3"/>
      <c r="B209" s="3"/>
      <c r="C209" s="3"/>
      <c r="D209" s="3"/>
      <c r="E209" s="3"/>
      <c r="F209" s="3"/>
      <c r="G209" s="3"/>
      <c r="H209" s="3"/>
      <c r="I209" s="3"/>
      <c r="J209" s="3"/>
      <c r="K209" s="3"/>
      <c r="L209" s="3"/>
      <c r="M209" s="3"/>
      <c r="N209" s="3"/>
      <c r="O209" s="3"/>
      <c r="P209" s="3"/>
    </row>
    <row r="210" spans="1:16" ht="15.75" customHeight="1">
      <c r="A210" s="3"/>
      <c r="B210" s="3"/>
      <c r="C210" s="3"/>
      <c r="D210" s="3"/>
      <c r="E210" s="3"/>
      <c r="F210" s="3"/>
      <c r="G210" s="3"/>
      <c r="H210" s="3"/>
      <c r="I210" s="3"/>
      <c r="J210" s="3"/>
      <c r="K210" s="3"/>
      <c r="L210" s="3"/>
      <c r="M210" s="3"/>
      <c r="N210" s="3"/>
      <c r="O210" s="3"/>
      <c r="P210" s="3"/>
    </row>
    <row r="211" spans="1:16" ht="15.75" customHeight="1">
      <c r="A211" s="3"/>
      <c r="B211" s="3"/>
      <c r="C211" s="3"/>
      <c r="D211" s="3"/>
      <c r="E211" s="3"/>
      <c r="F211" s="3"/>
      <c r="G211" s="3"/>
      <c r="H211" s="3"/>
      <c r="I211" s="3"/>
      <c r="J211" s="3"/>
      <c r="K211" s="3"/>
      <c r="L211" s="3"/>
      <c r="M211" s="3"/>
      <c r="N211" s="3"/>
      <c r="O211" s="3"/>
      <c r="P211" s="3"/>
    </row>
    <row r="212" spans="1:16" ht="15.75" customHeight="1">
      <c r="A212" s="3"/>
      <c r="B212" s="3"/>
      <c r="C212" s="3"/>
      <c r="D212" s="3"/>
      <c r="E212" s="3"/>
      <c r="F212" s="3"/>
      <c r="G212" s="3"/>
      <c r="H212" s="3"/>
      <c r="I212" s="3"/>
      <c r="J212" s="3"/>
      <c r="K212" s="3"/>
      <c r="L212" s="3"/>
      <c r="M212" s="3"/>
      <c r="N212" s="3"/>
      <c r="O212" s="3"/>
      <c r="P212" s="3"/>
    </row>
    <row r="213" spans="1:16" ht="15.75" customHeight="1">
      <c r="A213" s="3"/>
      <c r="B213" s="3"/>
      <c r="C213" s="3"/>
      <c r="D213" s="3"/>
      <c r="E213" s="3"/>
      <c r="F213" s="3"/>
      <c r="G213" s="3"/>
      <c r="H213" s="3"/>
      <c r="I213" s="3"/>
      <c r="J213" s="3"/>
      <c r="K213" s="3"/>
      <c r="L213" s="3"/>
      <c r="M213" s="3"/>
      <c r="N213" s="3"/>
      <c r="O213" s="3"/>
      <c r="P213" s="3"/>
    </row>
    <row r="214" spans="1:16" ht="15.75" customHeight="1">
      <c r="A214" s="3"/>
      <c r="B214" s="3"/>
      <c r="C214" s="3"/>
      <c r="D214" s="3"/>
      <c r="E214" s="3"/>
      <c r="F214" s="3"/>
      <c r="G214" s="3"/>
      <c r="H214" s="3"/>
      <c r="I214" s="3"/>
      <c r="J214" s="3"/>
      <c r="K214" s="3"/>
      <c r="L214" s="3"/>
      <c r="M214" s="3"/>
      <c r="N214" s="3"/>
      <c r="O214" s="3"/>
      <c r="P214" s="3"/>
    </row>
    <row r="215" spans="1:16" ht="15.75" customHeight="1">
      <c r="A215" s="3"/>
      <c r="B215" s="3"/>
      <c r="C215" s="3"/>
      <c r="D215" s="3"/>
      <c r="E215" s="3"/>
      <c r="F215" s="3"/>
      <c r="G215" s="3"/>
      <c r="H215" s="3"/>
      <c r="I215" s="3"/>
      <c r="J215" s="3"/>
      <c r="K215" s="3"/>
      <c r="L215" s="3"/>
      <c r="M215" s="3"/>
      <c r="N215" s="3"/>
      <c r="O215" s="3"/>
      <c r="P215" s="3"/>
    </row>
    <row r="216" spans="1:16" ht="15.75" customHeight="1">
      <c r="A216" s="3"/>
      <c r="B216" s="3"/>
      <c r="C216" s="3"/>
      <c r="D216" s="3"/>
      <c r="E216" s="3"/>
      <c r="F216" s="3"/>
      <c r="G216" s="3"/>
      <c r="H216" s="3"/>
      <c r="I216" s="3"/>
      <c r="J216" s="3"/>
      <c r="K216" s="3"/>
      <c r="L216" s="3"/>
      <c r="M216" s="3"/>
      <c r="N216" s="3"/>
      <c r="O216" s="3"/>
      <c r="P216" s="3"/>
    </row>
    <row r="217" spans="1:16" ht="15.75" customHeight="1">
      <c r="A217" s="3"/>
      <c r="B217" s="3"/>
      <c r="C217" s="3"/>
      <c r="D217" s="3"/>
      <c r="E217" s="3"/>
      <c r="F217" s="3"/>
      <c r="G217" s="3"/>
      <c r="H217" s="3"/>
      <c r="I217" s="3"/>
      <c r="J217" s="3"/>
      <c r="K217" s="3"/>
      <c r="L217" s="3"/>
      <c r="M217" s="3"/>
      <c r="N217" s="3"/>
      <c r="O217" s="3"/>
      <c r="P217" s="3"/>
    </row>
    <row r="218" spans="1:16" ht="15.75" customHeight="1">
      <c r="A218" s="3"/>
      <c r="B218" s="3"/>
      <c r="C218" s="3"/>
      <c r="D218" s="3"/>
      <c r="E218" s="3"/>
      <c r="F218" s="3"/>
      <c r="G218" s="3"/>
      <c r="H218" s="3"/>
      <c r="I218" s="3"/>
      <c r="J218" s="3"/>
      <c r="K218" s="3"/>
      <c r="L218" s="3"/>
      <c r="M218" s="3"/>
      <c r="N218" s="3"/>
      <c r="O218" s="3"/>
      <c r="P218" s="3"/>
    </row>
    <row r="219" spans="1:16" ht="15.75" customHeight="1">
      <c r="A219" s="3"/>
      <c r="B219" s="3"/>
      <c r="C219" s="3"/>
      <c r="D219" s="3"/>
      <c r="E219" s="3"/>
      <c r="F219" s="3"/>
      <c r="G219" s="3"/>
      <c r="H219" s="3"/>
      <c r="I219" s="3"/>
      <c r="J219" s="3"/>
      <c r="K219" s="3"/>
      <c r="L219" s="3"/>
      <c r="M219" s="3"/>
      <c r="N219" s="3"/>
      <c r="O219" s="3"/>
      <c r="P219" s="3"/>
    </row>
    <row r="220" spans="1:16" ht="15.75" customHeight="1">
      <c r="A220" s="3"/>
      <c r="B220" s="3"/>
      <c r="C220" s="3"/>
      <c r="D220" s="3"/>
      <c r="E220" s="3"/>
      <c r="F220" s="3"/>
      <c r="G220" s="3"/>
      <c r="H220" s="3"/>
      <c r="I220" s="3"/>
      <c r="J220" s="3"/>
      <c r="K220" s="3"/>
      <c r="L220" s="3"/>
      <c r="M220" s="3"/>
      <c r="N220" s="3"/>
      <c r="O220" s="3"/>
      <c r="P220" s="3"/>
    </row>
    <row r="221" spans="1:16" ht="15.75" customHeight="1">
      <c r="A221" s="3"/>
      <c r="B221" s="3"/>
      <c r="C221" s="3"/>
      <c r="D221" s="3"/>
      <c r="E221" s="3"/>
      <c r="F221" s="3"/>
      <c r="G221" s="3"/>
      <c r="H221" s="3"/>
      <c r="I221" s="3"/>
      <c r="J221" s="3"/>
      <c r="K221" s="3"/>
      <c r="L221" s="3"/>
      <c r="M221" s="3"/>
      <c r="N221" s="3"/>
      <c r="O221" s="3"/>
      <c r="P221" s="3"/>
    </row>
    <row r="222" spans="1:16" ht="15.75" customHeight="1">
      <c r="A222" s="3"/>
      <c r="B222" s="3"/>
      <c r="C222" s="3"/>
      <c r="D222" s="3"/>
      <c r="E222" s="3"/>
      <c r="F222" s="3"/>
      <c r="G222" s="3"/>
      <c r="H222" s="3"/>
      <c r="I222" s="3"/>
      <c r="J222" s="3"/>
      <c r="K222" s="3"/>
      <c r="L222" s="3"/>
      <c r="M222" s="3"/>
      <c r="N222" s="3"/>
      <c r="O222" s="3"/>
      <c r="P222" s="3"/>
    </row>
    <row r="223" spans="1:16" ht="15.75" customHeight="1">
      <c r="A223" s="3"/>
      <c r="B223" s="3"/>
      <c r="C223" s="3"/>
      <c r="D223" s="3"/>
      <c r="E223" s="3"/>
      <c r="F223" s="3"/>
      <c r="G223" s="3"/>
      <c r="H223" s="3"/>
      <c r="I223" s="3"/>
      <c r="J223" s="3"/>
      <c r="K223" s="3"/>
      <c r="L223" s="3"/>
      <c r="M223" s="3"/>
      <c r="N223" s="3"/>
      <c r="O223" s="3"/>
      <c r="P223" s="3"/>
    </row>
    <row r="224" spans="1:16" ht="15.75" customHeight="1">
      <c r="A224" s="3"/>
      <c r="B224" s="3"/>
      <c r="C224" s="3"/>
      <c r="D224" s="3"/>
      <c r="E224" s="3"/>
      <c r="F224" s="3"/>
      <c r="G224" s="3"/>
      <c r="H224" s="3"/>
      <c r="I224" s="3"/>
      <c r="J224" s="3"/>
      <c r="K224" s="3"/>
      <c r="L224" s="3"/>
      <c r="M224" s="3"/>
      <c r="N224" s="3"/>
      <c r="O224" s="3"/>
      <c r="P224" s="3"/>
    </row>
    <row r="225" spans="1:16" ht="15.75" customHeight="1">
      <c r="A225" s="3"/>
      <c r="B225" s="3"/>
      <c r="C225" s="3"/>
      <c r="D225" s="3"/>
      <c r="E225" s="3"/>
      <c r="F225" s="3"/>
      <c r="G225" s="3"/>
      <c r="H225" s="3"/>
      <c r="I225" s="3"/>
      <c r="J225" s="3"/>
      <c r="K225" s="3"/>
      <c r="L225" s="3"/>
      <c r="M225" s="3"/>
      <c r="N225" s="3"/>
      <c r="O225" s="3"/>
      <c r="P225" s="3"/>
    </row>
    <row r="226" spans="1:16" ht="15.75" customHeight="1">
      <c r="A226" s="3"/>
      <c r="B226" s="3"/>
      <c r="C226" s="3"/>
      <c r="D226" s="3"/>
      <c r="E226" s="3"/>
      <c r="F226" s="3"/>
      <c r="G226" s="3"/>
      <c r="H226" s="3"/>
      <c r="I226" s="3"/>
      <c r="J226" s="3"/>
      <c r="K226" s="3"/>
      <c r="L226" s="3"/>
      <c r="M226" s="3"/>
      <c r="N226" s="3"/>
      <c r="O226" s="3"/>
      <c r="P226" s="3"/>
    </row>
    <row r="227" spans="1:16" ht="15.75" customHeight="1"/>
    <row r="228" spans="1:16" ht="15.75" customHeight="1"/>
    <row r="229" spans="1:16" ht="15.75" customHeight="1"/>
    <row r="230" spans="1:16" ht="15.75" customHeight="1"/>
    <row r="231" spans="1:16" ht="15.75" customHeight="1"/>
    <row r="232" spans="1:16" ht="15.75" customHeight="1"/>
    <row r="233" spans="1:16" ht="15.75" customHeight="1"/>
    <row r="234" spans="1:16" ht="15.75" customHeight="1"/>
    <row r="235" spans="1:16" ht="15.75" customHeight="1"/>
    <row r="236" spans="1:16" ht="15.75" customHeight="1"/>
    <row r="237" spans="1:16" ht="15.75" customHeight="1"/>
    <row r="238" spans="1:16" ht="15.75" customHeight="1"/>
    <row r="239" spans="1:16" ht="15.75" customHeight="1"/>
    <row r="240" spans="1:1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sheetData>
  <sheetProtection algorithmName="SHA-512" hashValue="2Fsly9TDN8439XyDaA0W+hJV4IQWJny5IORrz7Je5QXPltjKEMrZYkVpxJ5n+HJDpdoz9FnqItvAsNPJNqiobQ==" saltValue="zK4gQjGqMBHF8i2F8uhqRQ==" spinCount="100000" sheet="1" objects="1" scenarios="1"/>
  <mergeCells count="6">
    <mergeCell ref="B4:B17"/>
    <mergeCell ref="J4:J17"/>
    <mergeCell ref="H4:H17"/>
    <mergeCell ref="B19:B26"/>
    <mergeCell ref="H19:H26"/>
    <mergeCell ref="J19:J26"/>
  </mergeCells>
  <pageMargins left="0.7" right="0.7"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R1003"/>
  <sheetViews>
    <sheetView workbookViewId="0">
      <pane ySplit="2" topLeftCell="A3" activePane="bottomLeft" state="frozen"/>
      <selection pane="bottomLeft" activeCell="AB79" sqref="AB79"/>
    </sheetView>
  </sheetViews>
  <sheetFormatPr defaultColWidth="14.42578125" defaultRowHeight="15" customHeight="1"/>
  <cols>
    <col min="1" max="1" width="3.28515625" customWidth="1"/>
    <col min="2" max="2" width="32" customWidth="1"/>
    <col min="3" max="3" width="3.85546875" customWidth="1"/>
    <col min="4" max="4" width="12.140625" customWidth="1"/>
    <col min="5" max="5" width="11.7109375" customWidth="1"/>
    <col min="6" max="6" width="10.42578125" customWidth="1"/>
    <col min="7" max="7" width="11.42578125" customWidth="1"/>
    <col min="8" max="11" width="12.85546875" customWidth="1"/>
    <col min="12" max="12" width="14.7109375" customWidth="1"/>
    <col min="13" max="13" width="3.5703125" customWidth="1"/>
    <col min="14" max="14" width="14.5703125" customWidth="1"/>
    <col min="15" max="17" width="13.85546875" customWidth="1"/>
    <col min="18" max="18" width="9.5703125" customWidth="1"/>
    <col min="19" max="19" width="3" customWidth="1"/>
    <col min="20" max="23" width="11" customWidth="1"/>
    <col min="24" max="24" width="3.7109375" customWidth="1"/>
  </cols>
  <sheetData>
    <row r="1" spans="1:44" ht="48" customHeight="1">
      <c r="A1" s="52"/>
      <c r="B1" s="52" t="s">
        <v>222</v>
      </c>
      <c r="C1" s="52"/>
      <c r="D1" s="52"/>
      <c r="E1" s="52"/>
      <c r="F1" s="52"/>
      <c r="G1" s="52"/>
      <c r="H1" s="17"/>
      <c r="I1" s="17"/>
      <c r="J1" s="17"/>
      <c r="K1" s="17"/>
      <c r="L1" s="17"/>
      <c r="M1" s="17"/>
      <c r="N1" s="17"/>
      <c r="O1" s="17"/>
      <c r="P1" s="17"/>
      <c r="Q1" s="17"/>
      <c r="R1" s="17"/>
      <c r="S1" s="17"/>
      <c r="T1" s="17"/>
      <c r="U1" s="17"/>
      <c r="V1" s="17"/>
      <c r="W1" s="17"/>
      <c r="X1" s="17"/>
      <c r="Y1" s="3"/>
      <c r="Z1" s="3"/>
      <c r="AA1" s="3"/>
      <c r="AB1" s="3"/>
      <c r="AC1" s="3"/>
      <c r="AD1" s="3"/>
      <c r="AE1" s="3"/>
      <c r="AF1" s="3"/>
      <c r="AG1" s="3"/>
      <c r="AH1" s="3"/>
      <c r="AI1" s="3"/>
      <c r="AJ1" s="3"/>
      <c r="AK1" s="3"/>
      <c r="AL1" s="3"/>
      <c r="AM1" s="3"/>
      <c r="AN1" s="3"/>
      <c r="AO1" s="3"/>
      <c r="AP1" s="3"/>
      <c r="AQ1" s="3"/>
      <c r="AR1" s="3"/>
    </row>
    <row r="2" spans="1:44">
      <c r="A2" s="9"/>
      <c r="B2" s="15" t="s">
        <v>5</v>
      </c>
      <c r="C2" s="9"/>
      <c r="D2" s="849" t="s">
        <v>8</v>
      </c>
      <c r="E2" s="716"/>
      <c r="F2" s="716"/>
      <c r="G2" s="716"/>
      <c r="H2" s="717"/>
      <c r="I2" s="9"/>
      <c r="J2" s="9"/>
      <c r="K2" s="9"/>
      <c r="L2" s="9"/>
      <c r="M2" s="9"/>
      <c r="N2" s="15" t="s">
        <v>9</v>
      </c>
      <c r="O2" s="9"/>
      <c r="P2" s="9"/>
      <c r="Q2" s="9"/>
      <c r="R2" s="9"/>
      <c r="S2" s="9"/>
      <c r="T2" s="15" t="s">
        <v>10</v>
      </c>
      <c r="U2" s="9"/>
      <c r="V2" s="9"/>
      <c r="W2" s="9"/>
      <c r="X2" s="9"/>
      <c r="Y2" s="3"/>
      <c r="Z2" s="3"/>
      <c r="AA2" s="3"/>
      <c r="AB2" s="3"/>
      <c r="AC2" s="3"/>
      <c r="AD2" s="3"/>
      <c r="AE2" s="3"/>
      <c r="AF2" s="3"/>
      <c r="AG2" s="3"/>
      <c r="AH2" s="3"/>
      <c r="AI2" s="3"/>
      <c r="AJ2" s="3"/>
      <c r="AK2" s="3"/>
      <c r="AL2" s="3"/>
      <c r="AM2" s="3"/>
      <c r="AN2" s="3"/>
      <c r="AO2" s="3"/>
      <c r="AP2" s="3"/>
      <c r="AQ2" s="3"/>
      <c r="AR2" s="3"/>
    </row>
    <row r="3" spans="1:44">
      <c r="A3" s="3"/>
      <c r="B3" s="836" t="s">
        <v>224</v>
      </c>
      <c r="C3" s="20"/>
      <c r="D3" s="850" t="s">
        <v>225</v>
      </c>
      <c r="E3" s="719"/>
      <c r="F3" s="719"/>
      <c r="G3" s="720"/>
      <c r="H3" s="26"/>
      <c r="I3" s="26"/>
      <c r="J3" s="26"/>
      <c r="K3" s="26"/>
      <c r="L3" s="26"/>
      <c r="M3" s="20"/>
      <c r="N3" s="66"/>
      <c r="O3" s="66"/>
      <c r="P3" s="66"/>
      <c r="Q3" s="66"/>
      <c r="R3" s="66"/>
      <c r="S3" s="20"/>
      <c r="T3" s="22" t="str">
        <f>HYPERLINK("https://www.energystar.gov/sites/default/files/buildings/tools/DataTrends_Water_20121002.pdf","Source: EPA Energy Start Data Trends")</f>
        <v>Source: EPA Energy Start Data Trends</v>
      </c>
      <c r="U3" s="66"/>
      <c r="V3" s="66"/>
      <c r="W3" s="66"/>
      <c r="X3" s="66"/>
      <c r="Y3" s="3"/>
      <c r="Z3" s="3"/>
      <c r="AA3" s="3"/>
      <c r="AB3" s="3"/>
      <c r="AC3" s="3"/>
      <c r="AD3" s="3"/>
      <c r="AE3" s="3"/>
      <c r="AF3" s="3"/>
      <c r="AG3" s="3"/>
      <c r="AH3" s="3"/>
      <c r="AI3" s="3"/>
      <c r="AJ3" s="3"/>
      <c r="AK3" s="3"/>
      <c r="AL3" s="3"/>
      <c r="AM3" s="3"/>
      <c r="AN3" s="3"/>
      <c r="AO3" s="3"/>
      <c r="AP3" s="3"/>
      <c r="AQ3" s="3"/>
      <c r="AR3" s="3"/>
    </row>
    <row r="4" spans="1:44">
      <c r="A4" s="3"/>
      <c r="B4" s="800"/>
      <c r="C4" s="20"/>
      <c r="D4" s="50" t="s">
        <v>227</v>
      </c>
      <c r="E4" s="50"/>
      <c r="F4" s="50"/>
      <c r="G4" s="50"/>
      <c r="H4" s="50"/>
      <c r="I4" s="50"/>
      <c r="J4" s="50"/>
      <c r="K4" s="50"/>
      <c r="L4" s="50"/>
      <c r="M4" s="20"/>
      <c r="N4" s="19"/>
      <c r="O4" s="19" t="s">
        <v>228</v>
      </c>
      <c r="P4" s="66"/>
      <c r="Q4" s="66"/>
      <c r="R4" s="66"/>
      <c r="S4" s="20"/>
      <c r="T4" s="22" t="str">
        <f>HYPERLINK("https://www.eia.gov/consumption/commercial/reports/2012/water/pdf/users%20guide%20to%202012%20water%20public%20use.pdf","Source: CBECS Table W1. Water consumption 2012")</f>
        <v>Source: CBECS Table W1. Water consumption 2012</v>
      </c>
      <c r="U4" s="66"/>
      <c r="V4" s="66"/>
      <c r="W4" s="66"/>
      <c r="X4" s="66"/>
      <c r="Y4" s="3"/>
      <c r="Z4" s="3"/>
      <c r="AA4" s="3"/>
      <c r="AB4" s="3"/>
      <c r="AC4" s="3"/>
      <c r="AD4" s="3"/>
      <c r="AE4" s="3"/>
      <c r="AF4" s="3"/>
      <c r="AG4" s="3"/>
      <c r="AH4" s="3"/>
      <c r="AI4" s="3"/>
      <c r="AJ4" s="3"/>
      <c r="AK4" s="3"/>
      <c r="AL4" s="3"/>
      <c r="AM4" s="3"/>
      <c r="AN4" s="3"/>
      <c r="AO4" s="3"/>
      <c r="AP4" s="3"/>
      <c r="AQ4" s="3"/>
      <c r="AR4" s="3"/>
    </row>
    <row r="5" spans="1:44">
      <c r="A5" s="3"/>
      <c r="B5" s="800"/>
      <c r="C5" s="20"/>
      <c r="D5" s="50"/>
      <c r="E5" s="50"/>
      <c r="F5" s="50"/>
      <c r="G5" s="50"/>
      <c r="H5" s="50"/>
      <c r="I5" s="50"/>
      <c r="J5" s="50"/>
      <c r="K5" s="50"/>
      <c r="L5" s="50"/>
      <c r="M5" s="20"/>
      <c r="N5" s="66"/>
      <c r="O5" s="68" t="s">
        <v>24</v>
      </c>
      <c r="P5" s="69" t="s">
        <v>234</v>
      </c>
      <c r="Q5" s="69" t="s">
        <v>235</v>
      </c>
      <c r="R5" s="66"/>
      <c r="S5" s="20"/>
      <c r="T5" s="22" t="str">
        <f>HYPERLINK("http://www.savetexaswater.org/resources/doc/Hoffman_Analysis_Muni_2016.pdf","Source: Savetexaswater.org Analsysis")</f>
        <v>Source: Savetexaswater.org Analsysis</v>
      </c>
      <c r="U5" s="66"/>
      <c r="V5" s="66"/>
      <c r="W5" s="66"/>
      <c r="X5" s="66"/>
      <c r="Y5" s="3"/>
      <c r="Z5" s="3"/>
      <c r="AA5" s="3"/>
      <c r="AB5" s="3"/>
      <c r="AC5" s="3"/>
      <c r="AD5" s="3"/>
      <c r="AE5" s="3"/>
      <c r="AF5" s="3"/>
      <c r="AG5" s="3"/>
      <c r="AH5" s="3"/>
      <c r="AI5" s="3"/>
      <c r="AJ5" s="3"/>
      <c r="AK5" s="3"/>
      <c r="AL5" s="3"/>
      <c r="AM5" s="3"/>
      <c r="AN5" s="3"/>
      <c r="AO5" s="3"/>
      <c r="AP5" s="3"/>
      <c r="AQ5" s="3"/>
      <c r="AR5" s="3"/>
    </row>
    <row r="6" spans="1:44">
      <c r="A6" s="3"/>
      <c r="B6" s="800"/>
      <c r="C6" s="20"/>
      <c r="D6" s="50"/>
      <c r="E6" s="50"/>
      <c r="F6" s="50"/>
      <c r="G6" s="27" t="s">
        <v>65</v>
      </c>
      <c r="H6" s="70">
        <f>Introduction!F15</f>
        <v>65</v>
      </c>
      <c r="I6" s="50"/>
      <c r="J6" s="50"/>
      <c r="K6" s="50"/>
      <c r="L6" s="50"/>
      <c r="M6" s="20"/>
      <c r="N6" s="66"/>
      <c r="O6" s="71" t="s">
        <v>191</v>
      </c>
      <c r="P6" s="72">
        <v>10.95</v>
      </c>
      <c r="Q6" s="72">
        <v>18.25</v>
      </c>
      <c r="R6" s="66"/>
      <c r="S6" s="20"/>
      <c r="T6" s="22" t="str">
        <f>HYPERLINK("https://www.epa.gov/watersense/how-we-use-water","Sources: EPA WaterSense - Residential Water Use ")</f>
        <v xml:space="preserve">Sources: EPA WaterSense - Residential Water Use </v>
      </c>
      <c r="U6" s="66"/>
      <c r="V6" s="66"/>
      <c r="W6" s="66"/>
      <c r="X6" s="66"/>
      <c r="Y6" s="3"/>
      <c r="Z6" s="3"/>
      <c r="AA6" s="3"/>
      <c r="AB6" s="3"/>
      <c r="AC6" s="3"/>
      <c r="AD6" s="3"/>
      <c r="AE6" s="3"/>
      <c r="AF6" s="3"/>
      <c r="AG6" s="3"/>
      <c r="AH6" s="3"/>
      <c r="AI6" s="3"/>
      <c r="AJ6" s="3"/>
      <c r="AK6" s="3"/>
      <c r="AL6" s="3"/>
      <c r="AM6" s="3"/>
      <c r="AN6" s="3"/>
      <c r="AO6" s="3"/>
      <c r="AP6" s="3"/>
      <c r="AQ6" s="3"/>
      <c r="AR6" s="3"/>
    </row>
    <row r="7" spans="1:44">
      <c r="A7" s="3"/>
      <c r="B7" s="800"/>
      <c r="C7" s="20"/>
      <c r="D7" s="50"/>
      <c r="E7" s="50"/>
      <c r="F7" s="50"/>
      <c r="G7" s="27" t="s">
        <v>241</v>
      </c>
      <c r="H7" s="70">
        <f>Introduction!F19</f>
        <v>365</v>
      </c>
      <c r="I7" s="50"/>
      <c r="J7" s="44" t="s">
        <v>245</v>
      </c>
      <c r="K7" s="334" t="s">
        <v>246</v>
      </c>
      <c r="L7" s="50"/>
      <c r="M7" s="20"/>
      <c r="N7" s="66"/>
      <c r="O7" s="71" t="s">
        <v>247</v>
      </c>
      <c r="P7" s="72">
        <v>8.8500000000000014</v>
      </c>
      <c r="Q7" s="72">
        <v>14.75</v>
      </c>
      <c r="R7" s="66"/>
      <c r="S7" s="20"/>
      <c r="T7" s="66"/>
      <c r="U7" s="66"/>
      <c r="V7" s="66"/>
      <c r="W7" s="66"/>
      <c r="X7" s="66"/>
      <c r="Y7" s="3"/>
      <c r="Z7" s="3"/>
      <c r="AA7" s="3"/>
      <c r="AB7" s="3"/>
      <c r="AC7" s="3"/>
      <c r="AD7" s="3"/>
      <c r="AE7" s="3"/>
      <c r="AF7" s="3"/>
      <c r="AG7" s="3"/>
      <c r="AH7" s="3"/>
      <c r="AI7" s="3"/>
      <c r="AJ7" s="3"/>
      <c r="AK7" s="3"/>
      <c r="AL7" s="3"/>
      <c r="AM7" s="3"/>
      <c r="AN7" s="3"/>
      <c r="AO7" s="3"/>
      <c r="AP7" s="3"/>
      <c r="AQ7" s="3"/>
      <c r="AR7" s="3"/>
    </row>
    <row r="8" spans="1:44">
      <c r="A8" s="3"/>
      <c r="B8" s="800"/>
      <c r="C8" s="20"/>
      <c r="D8" s="50"/>
      <c r="E8" s="50"/>
      <c r="F8" s="50"/>
      <c r="G8" s="44"/>
      <c r="H8" s="50"/>
      <c r="I8" s="50"/>
      <c r="J8" s="50"/>
      <c r="K8" s="50"/>
      <c r="L8" s="50"/>
      <c r="M8" s="20"/>
      <c r="N8" s="66"/>
      <c r="O8" s="71" t="s">
        <v>215</v>
      </c>
      <c r="P8" s="72">
        <v>17.774999999999999</v>
      </c>
      <c r="Q8" s="72">
        <v>29.625</v>
      </c>
      <c r="R8" s="66"/>
      <c r="S8" s="20"/>
      <c r="T8" s="860" t="s">
        <v>248</v>
      </c>
      <c r="U8" s="808"/>
      <c r="V8" s="808"/>
      <c r="W8" s="809"/>
      <c r="X8" s="66"/>
      <c r="Y8" s="3"/>
      <c r="Z8" s="3"/>
      <c r="AA8" s="3"/>
      <c r="AB8" s="3"/>
      <c r="AC8" s="3"/>
      <c r="AD8" s="3"/>
      <c r="AE8" s="3"/>
      <c r="AF8" s="3"/>
      <c r="AG8" s="3"/>
      <c r="AH8" s="3"/>
      <c r="AI8" s="3"/>
      <c r="AJ8" s="3"/>
      <c r="AK8" s="3"/>
      <c r="AL8" s="3"/>
      <c r="AM8" s="3"/>
      <c r="AN8" s="3"/>
      <c r="AO8" s="3"/>
      <c r="AP8" s="3"/>
      <c r="AQ8" s="3"/>
      <c r="AR8" s="3"/>
    </row>
    <row r="9" spans="1:44">
      <c r="A9" s="3"/>
      <c r="B9" s="800"/>
      <c r="C9" s="20"/>
      <c r="D9" s="20"/>
      <c r="E9" s="20"/>
      <c r="F9" s="20"/>
      <c r="G9" s="20"/>
      <c r="H9" s="20"/>
      <c r="I9" s="20"/>
      <c r="J9" s="20"/>
      <c r="K9" s="20"/>
      <c r="L9" s="20"/>
      <c r="M9" s="20"/>
      <c r="N9" s="66"/>
      <c r="O9" s="71" t="s">
        <v>230</v>
      </c>
      <c r="P9" s="72">
        <v>37.200000000000003</v>
      </c>
      <c r="Q9" s="72">
        <v>62</v>
      </c>
      <c r="R9" s="66"/>
      <c r="S9" s="20"/>
      <c r="T9" s="810"/>
      <c r="U9" s="811"/>
      <c r="V9" s="811"/>
      <c r="W9" s="812"/>
      <c r="X9" s="66"/>
      <c r="Y9" s="3"/>
      <c r="Z9" s="3"/>
      <c r="AA9" s="3"/>
      <c r="AB9" s="3"/>
      <c r="AC9" s="3"/>
      <c r="AD9" s="3"/>
      <c r="AE9" s="3"/>
      <c r="AF9" s="3"/>
      <c r="AG9" s="3"/>
      <c r="AH9" s="3"/>
      <c r="AI9" s="3"/>
      <c r="AJ9" s="3"/>
      <c r="AK9" s="3"/>
      <c r="AL9" s="3"/>
      <c r="AM9" s="3"/>
      <c r="AN9" s="3"/>
      <c r="AO9" s="3"/>
      <c r="AP9" s="3"/>
      <c r="AQ9" s="3"/>
      <c r="AR9" s="3"/>
    </row>
    <row r="10" spans="1:44">
      <c r="A10" s="3"/>
      <c r="B10" s="800"/>
      <c r="C10" s="20"/>
      <c r="D10" s="62" t="s">
        <v>253</v>
      </c>
      <c r="E10" s="62"/>
      <c r="F10" s="62"/>
      <c r="G10" s="859"/>
      <c r="H10" s="719"/>
      <c r="I10" s="719"/>
      <c r="J10" s="719"/>
      <c r="K10" s="719"/>
      <c r="L10" s="720"/>
      <c r="M10" s="20"/>
      <c r="N10" s="66"/>
      <c r="O10" s="71" t="s">
        <v>238</v>
      </c>
      <c r="P10" s="72">
        <v>31.275000000000002</v>
      </c>
      <c r="Q10" s="72">
        <v>52.125</v>
      </c>
      <c r="R10" s="66"/>
      <c r="S10" s="20"/>
      <c r="T10" s="66"/>
      <c r="U10" s="66"/>
      <c r="V10" s="66"/>
      <c r="W10" s="66"/>
      <c r="X10" s="66"/>
      <c r="Y10" s="3"/>
      <c r="Z10" s="3"/>
      <c r="AA10" s="3"/>
      <c r="AB10" s="3"/>
      <c r="AC10" s="3"/>
      <c r="AD10" s="3"/>
      <c r="AE10" s="3"/>
      <c r="AF10" s="3"/>
      <c r="AG10" s="3"/>
      <c r="AH10" s="3"/>
      <c r="AI10" s="3"/>
      <c r="AJ10" s="3"/>
      <c r="AK10" s="3"/>
      <c r="AL10" s="3"/>
      <c r="AM10" s="3"/>
      <c r="AN10" s="3"/>
      <c r="AO10" s="3"/>
      <c r="AP10" s="3"/>
      <c r="AQ10" s="3"/>
      <c r="AR10" s="3"/>
    </row>
    <row r="11" spans="1:44">
      <c r="A11" s="3"/>
      <c r="B11" s="800"/>
      <c r="C11" s="20"/>
      <c r="D11" s="861"/>
      <c r="E11" s="858"/>
      <c r="F11" s="856"/>
      <c r="G11" s="73" t="s">
        <v>258</v>
      </c>
      <c r="H11" s="74" t="s">
        <v>259</v>
      </c>
      <c r="I11" s="74" t="s">
        <v>260</v>
      </c>
      <c r="J11" s="74" t="s">
        <v>261</v>
      </c>
      <c r="K11" s="74" t="s">
        <v>262</v>
      </c>
      <c r="L11" s="75" t="s">
        <v>263</v>
      </c>
      <c r="M11" s="20"/>
      <c r="N11" s="66"/>
      <c r="O11" s="71" t="s">
        <v>265</v>
      </c>
      <c r="P11" s="72">
        <v>9.4499999999999993</v>
      </c>
      <c r="Q11" s="72">
        <v>15.75</v>
      </c>
      <c r="R11" s="66"/>
      <c r="S11" s="20"/>
      <c r="T11" s="66"/>
      <c r="U11" s="66"/>
      <c r="V11" s="66"/>
      <c r="W11" s="66"/>
      <c r="X11" s="66"/>
      <c r="Y11" s="3"/>
      <c r="Z11" s="3"/>
      <c r="AA11" s="3"/>
      <c r="AB11" s="3"/>
      <c r="AC11" s="3"/>
      <c r="AD11" s="3"/>
      <c r="AE11" s="3"/>
      <c r="AF11" s="3"/>
      <c r="AG11" s="3"/>
      <c r="AH11" s="3"/>
      <c r="AI11" s="3"/>
      <c r="AJ11" s="3"/>
      <c r="AK11" s="3"/>
      <c r="AL11" s="3"/>
      <c r="AM11" s="3"/>
      <c r="AN11" s="3"/>
      <c r="AO11" s="3"/>
      <c r="AP11" s="3"/>
      <c r="AQ11" s="3"/>
      <c r="AR11" s="3"/>
    </row>
    <row r="12" spans="1:44">
      <c r="A12" s="3"/>
      <c r="B12" s="800"/>
      <c r="C12" s="20"/>
      <c r="D12" s="862" t="s">
        <v>267</v>
      </c>
      <c r="E12" s="864" t="s">
        <v>268</v>
      </c>
      <c r="F12" s="865"/>
      <c r="G12" s="76">
        <f>H6/2</f>
        <v>32.5</v>
      </c>
      <c r="H12" s="77">
        <f>IF($K$7="Commercial",1,5)</f>
        <v>1</v>
      </c>
      <c r="I12" s="77">
        <f>IF($K$7="Commercial",2,0)</f>
        <v>2</v>
      </c>
      <c r="J12" s="77">
        <f t="shared" ref="J12:J13" si="0">IF($K$7="Commercial",0.1,1)</f>
        <v>0.1</v>
      </c>
      <c r="K12" s="77">
        <f t="shared" ref="K12:K13" si="1">IF($K$7="Commercial",3,5)</f>
        <v>3</v>
      </c>
      <c r="L12" s="78">
        <f t="shared" ref="L12:L13" si="2">IF($K$7="Commercial",1,4)</f>
        <v>1</v>
      </c>
      <c r="M12" s="20"/>
      <c r="N12" s="66"/>
      <c r="O12" s="71" t="s">
        <v>274</v>
      </c>
      <c r="P12" s="72">
        <v>31.5</v>
      </c>
      <c r="Q12" s="72">
        <v>52.5</v>
      </c>
      <c r="R12" s="66"/>
      <c r="S12" s="20"/>
      <c r="T12" s="66" t="s">
        <v>275</v>
      </c>
      <c r="U12" s="66"/>
      <c r="V12" s="66"/>
      <c r="W12" s="66"/>
      <c r="X12" s="66"/>
      <c r="Y12" s="3"/>
      <c r="Z12" s="3"/>
      <c r="AA12" s="3"/>
      <c r="AB12" s="3"/>
      <c r="AC12" s="3"/>
      <c r="AD12" s="3"/>
      <c r="AE12" s="3"/>
      <c r="AF12" s="3"/>
      <c r="AG12" s="3"/>
      <c r="AH12" s="3"/>
      <c r="AI12" s="3"/>
      <c r="AJ12" s="3"/>
      <c r="AK12" s="3"/>
      <c r="AL12" s="3"/>
      <c r="AM12" s="3"/>
      <c r="AN12" s="3"/>
      <c r="AO12" s="3"/>
      <c r="AP12" s="3"/>
      <c r="AQ12" s="3"/>
      <c r="AR12" s="3"/>
    </row>
    <row r="13" spans="1:44">
      <c r="A13" s="3"/>
      <c r="B13" s="800"/>
      <c r="C13" s="20"/>
      <c r="D13" s="863"/>
      <c r="E13" s="866" t="s">
        <v>276</v>
      </c>
      <c r="F13" s="840"/>
      <c r="G13" s="39">
        <f>H6/2</f>
        <v>32.5</v>
      </c>
      <c r="H13" s="36">
        <f>IF($K$7="Commercial",3,5)</f>
        <v>3</v>
      </c>
      <c r="I13" s="36">
        <v>0</v>
      </c>
      <c r="J13" s="36">
        <f t="shared" si="0"/>
        <v>0.1</v>
      </c>
      <c r="K13" s="36">
        <f t="shared" si="1"/>
        <v>3</v>
      </c>
      <c r="L13" s="80">
        <f t="shared" si="2"/>
        <v>1</v>
      </c>
      <c r="M13" s="20"/>
      <c r="N13" s="66"/>
      <c r="O13" s="71" t="s">
        <v>170</v>
      </c>
      <c r="P13" s="72">
        <v>10.95</v>
      </c>
      <c r="Q13" s="72">
        <v>18.25</v>
      </c>
      <c r="R13" s="66"/>
      <c r="S13" s="20"/>
      <c r="T13" s="22" t="str">
        <f>HYPERLINK("https://www.epa.gov/watersense/watersense-products","EPA WaterSense")</f>
        <v>EPA WaterSense</v>
      </c>
      <c r="U13" s="66"/>
      <c r="V13" s="66"/>
      <c r="W13" s="66"/>
      <c r="X13" s="66"/>
      <c r="Y13" s="3"/>
      <c r="Z13" s="3"/>
      <c r="AA13" s="3"/>
      <c r="AB13" s="3"/>
      <c r="AC13" s="3"/>
      <c r="AD13" s="3"/>
      <c r="AE13" s="3"/>
      <c r="AF13" s="3"/>
      <c r="AG13" s="3"/>
      <c r="AH13" s="3"/>
      <c r="AI13" s="3"/>
      <c r="AJ13" s="3"/>
      <c r="AK13" s="3"/>
      <c r="AL13" s="3"/>
      <c r="AM13" s="3"/>
      <c r="AN13" s="3"/>
      <c r="AO13" s="3"/>
      <c r="AP13" s="3"/>
      <c r="AQ13" s="3"/>
      <c r="AR13" s="3"/>
    </row>
    <row r="14" spans="1:44">
      <c r="A14" s="3"/>
      <c r="B14" s="800"/>
      <c r="C14" s="20"/>
      <c r="D14" s="862" t="s">
        <v>283</v>
      </c>
      <c r="E14" s="864" t="s">
        <v>268</v>
      </c>
      <c r="F14" s="865"/>
      <c r="G14" s="76"/>
      <c r="H14" s="27">
        <f t="shared" ref="H14:L14" si="3">$G12*H12</f>
        <v>32.5</v>
      </c>
      <c r="I14" s="27">
        <f t="shared" si="3"/>
        <v>65</v>
      </c>
      <c r="J14" s="27">
        <f t="shared" si="3"/>
        <v>3.25</v>
      </c>
      <c r="K14" s="27">
        <f t="shared" si="3"/>
        <v>97.5</v>
      </c>
      <c r="L14" s="81">
        <f t="shared" si="3"/>
        <v>32.5</v>
      </c>
      <c r="M14" s="20"/>
      <c r="N14" s="66"/>
      <c r="O14" s="71" t="s">
        <v>252</v>
      </c>
      <c r="P14" s="72">
        <v>11.7</v>
      </c>
      <c r="Q14" s="72">
        <v>19.5</v>
      </c>
      <c r="R14" s="66"/>
      <c r="S14" s="20"/>
      <c r="T14" s="19"/>
      <c r="U14" s="853" t="s">
        <v>288</v>
      </c>
      <c r="V14" s="720"/>
      <c r="W14" s="853" t="s">
        <v>246</v>
      </c>
      <c r="X14" s="720"/>
      <c r="Y14" s="3"/>
      <c r="Z14" s="3"/>
      <c r="AA14" s="3"/>
      <c r="AB14" s="3"/>
      <c r="AC14" s="3"/>
      <c r="AD14" s="3"/>
      <c r="AE14" s="3"/>
      <c r="AF14" s="3"/>
      <c r="AG14" s="3"/>
      <c r="AH14" s="3"/>
      <c r="AI14" s="3"/>
      <c r="AJ14" s="3"/>
      <c r="AK14" s="3"/>
      <c r="AL14" s="3"/>
      <c r="AM14" s="3"/>
      <c r="AN14" s="3"/>
      <c r="AO14" s="3"/>
      <c r="AP14" s="3"/>
      <c r="AQ14" s="3"/>
      <c r="AR14" s="3"/>
    </row>
    <row r="15" spans="1:44" ht="15.75" customHeight="1">
      <c r="A15" s="3"/>
      <c r="B15" s="800"/>
      <c r="C15" s="20"/>
      <c r="D15" s="863"/>
      <c r="E15" s="866" t="s">
        <v>276</v>
      </c>
      <c r="F15" s="840"/>
      <c r="G15" s="39"/>
      <c r="H15" s="27">
        <f t="shared" ref="H15:L15" si="4">$G13*H13</f>
        <v>97.5</v>
      </c>
      <c r="I15" s="27">
        <f t="shared" si="4"/>
        <v>0</v>
      </c>
      <c r="J15" s="27">
        <f t="shared" si="4"/>
        <v>3.25</v>
      </c>
      <c r="K15" s="27">
        <f t="shared" si="4"/>
        <v>97.5</v>
      </c>
      <c r="L15" s="81">
        <f t="shared" si="4"/>
        <v>32.5</v>
      </c>
      <c r="M15" s="20"/>
      <c r="N15" s="66"/>
      <c r="O15" s="71" t="s">
        <v>182</v>
      </c>
      <c r="P15" s="72">
        <v>19.274999999999999</v>
      </c>
      <c r="Q15" s="72">
        <v>32.125</v>
      </c>
      <c r="R15" s="66"/>
      <c r="S15" s="20"/>
      <c r="T15" s="49"/>
      <c r="U15" s="82" t="s">
        <v>235</v>
      </c>
      <c r="V15" s="82" t="s">
        <v>234</v>
      </c>
      <c r="W15" s="82" t="s">
        <v>235</v>
      </c>
      <c r="X15" s="82" t="s">
        <v>234</v>
      </c>
      <c r="Y15" s="3"/>
      <c r="Z15" s="3"/>
      <c r="AA15" s="3"/>
      <c r="AB15" s="3"/>
      <c r="AC15" s="3"/>
      <c r="AD15" s="3"/>
      <c r="AE15" s="3"/>
      <c r="AF15" s="3"/>
      <c r="AG15" s="3"/>
      <c r="AH15" s="3"/>
      <c r="AI15" s="3"/>
      <c r="AJ15" s="3"/>
      <c r="AK15" s="3"/>
      <c r="AL15" s="3"/>
      <c r="AM15" s="3"/>
      <c r="AN15" s="3"/>
      <c r="AO15" s="3"/>
      <c r="AP15" s="3"/>
      <c r="AQ15" s="3"/>
      <c r="AR15" s="3"/>
    </row>
    <row r="16" spans="1:44" ht="15.75" customHeight="1">
      <c r="A16" s="3"/>
      <c r="B16" s="800"/>
      <c r="C16" s="20"/>
      <c r="D16" s="83" t="s">
        <v>297</v>
      </c>
      <c r="E16" s="84"/>
      <c r="F16" s="85"/>
      <c r="G16" s="28"/>
      <c r="H16" s="85">
        <f t="shared" ref="H16:L16" si="5">SUM(H14:H15)</f>
        <v>130</v>
      </c>
      <c r="I16" s="85">
        <f t="shared" si="5"/>
        <v>65</v>
      </c>
      <c r="J16" s="85">
        <f t="shared" si="5"/>
        <v>6.5</v>
      </c>
      <c r="K16" s="85">
        <f t="shared" si="5"/>
        <v>195</v>
      </c>
      <c r="L16" s="86">
        <f t="shared" si="5"/>
        <v>65</v>
      </c>
      <c r="M16" s="20"/>
      <c r="N16" s="66"/>
      <c r="O16" s="71" t="s">
        <v>280</v>
      </c>
      <c r="P16" s="72">
        <v>31.575000000000003</v>
      </c>
      <c r="Q16" s="72">
        <v>52.625</v>
      </c>
      <c r="R16" s="66"/>
      <c r="S16" s="20"/>
      <c r="T16" s="19" t="s">
        <v>259</v>
      </c>
      <c r="U16" s="88">
        <v>1.6</v>
      </c>
      <c r="V16" s="88">
        <v>1.1000000000000001</v>
      </c>
      <c r="W16" s="88">
        <v>1.6</v>
      </c>
      <c r="X16" s="88">
        <v>1.1000000000000001</v>
      </c>
      <c r="Y16" s="3"/>
      <c r="Z16" s="3"/>
      <c r="AA16" s="3"/>
      <c r="AB16" s="3"/>
      <c r="AC16" s="3"/>
      <c r="AD16" s="3"/>
      <c r="AE16" s="3"/>
      <c r="AF16" s="3"/>
      <c r="AG16" s="3"/>
      <c r="AH16" s="3"/>
      <c r="AI16" s="3"/>
      <c r="AJ16" s="3"/>
      <c r="AK16" s="3"/>
      <c r="AL16" s="3"/>
      <c r="AM16" s="3"/>
      <c r="AN16" s="3"/>
      <c r="AO16" s="3"/>
      <c r="AP16" s="3"/>
      <c r="AQ16" s="3"/>
      <c r="AR16" s="3"/>
    </row>
    <row r="17" spans="1:44" ht="15.75" customHeight="1">
      <c r="A17" s="3"/>
      <c r="B17" s="800"/>
      <c r="C17" s="20"/>
      <c r="D17" s="90"/>
      <c r="E17" s="53"/>
      <c r="F17" s="53"/>
      <c r="G17" s="28"/>
      <c r="H17" s="28"/>
      <c r="I17" s="30" t="s">
        <v>299</v>
      </c>
      <c r="J17" s="28"/>
      <c r="K17" s="28"/>
      <c r="L17" s="35"/>
      <c r="M17" s="20"/>
      <c r="N17" s="66"/>
      <c r="O17" s="71" t="s">
        <v>284</v>
      </c>
      <c r="P17" s="72">
        <v>5.4749999999999996</v>
      </c>
      <c r="Q17" s="72">
        <v>9.125</v>
      </c>
      <c r="R17" s="66"/>
      <c r="S17" s="20"/>
      <c r="T17" s="19" t="s">
        <v>301</v>
      </c>
      <c r="U17" s="88">
        <v>1.5</v>
      </c>
      <c r="V17" s="88">
        <v>1</v>
      </c>
      <c r="W17" s="88">
        <v>0.5</v>
      </c>
      <c r="X17" s="88">
        <v>0.5</v>
      </c>
      <c r="Y17" s="3"/>
      <c r="Z17" s="3"/>
      <c r="AA17" s="3"/>
      <c r="AB17" s="3"/>
      <c r="AC17" s="3"/>
      <c r="AD17" s="3"/>
      <c r="AE17" s="3"/>
      <c r="AF17" s="3"/>
      <c r="AG17" s="3"/>
      <c r="AH17" s="3"/>
      <c r="AI17" s="3"/>
      <c r="AJ17" s="3"/>
      <c r="AK17" s="3"/>
      <c r="AL17" s="3"/>
      <c r="AM17" s="3"/>
      <c r="AN17" s="3"/>
      <c r="AO17" s="3"/>
      <c r="AP17" s="3"/>
      <c r="AQ17" s="3"/>
      <c r="AR17" s="3"/>
    </row>
    <row r="18" spans="1:44" ht="15.75" customHeight="1">
      <c r="A18" s="3"/>
      <c r="B18" s="800"/>
      <c r="C18" s="20"/>
      <c r="D18" s="820" t="s">
        <v>302</v>
      </c>
      <c r="E18" s="719"/>
      <c r="F18" s="720"/>
      <c r="G18" s="28"/>
      <c r="H18" s="334">
        <v>1.1000000000000001</v>
      </c>
      <c r="I18" s="334">
        <v>0.5</v>
      </c>
      <c r="J18" s="334">
        <v>2</v>
      </c>
      <c r="K18" s="341">
        <v>0.5</v>
      </c>
      <c r="L18" s="342">
        <v>2.2000000000000002</v>
      </c>
      <c r="M18" s="20"/>
      <c r="N18" s="66"/>
      <c r="O18" s="71" t="s">
        <v>309</v>
      </c>
      <c r="P18" s="72">
        <v>161.25</v>
      </c>
      <c r="Q18" s="72">
        <v>268.75</v>
      </c>
      <c r="R18" s="66"/>
      <c r="S18" s="20"/>
      <c r="T18" s="19" t="s">
        <v>261</v>
      </c>
      <c r="U18" s="88">
        <v>2.5</v>
      </c>
      <c r="V18" s="88">
        <v>2</v>
      </c>
      <c r="W18" s="88">
        <v>2</v>
      </c>
      <c r="X18" s="88">
        <v>1.5</v>
      </c>
      <c r="Y18" s="3"/>
      <c r="Z18" s="3"/>
      <c r="AA18" s="3"/>
      <c r="AB18" s="3"/>
      <c r="AC18" s="3"/>
      <c r="AD18" s="3"/>
      <c r="AE18" s="3"/>
      <c r="AF18" s="3"/>
      <c r="AG18" s="3"/>
      <c r="AH18" s="3"/>
      <c r="AI18" s="3"/>
      <c r="AJ18" s="3"/>
      <c r="AK18" s="3"/>
      <c r="AL18" s="3"/>
      <c r="AM18" s="3"/>
      <c r="AN18" s="3"/>
      <c r="AO18" s="3"/>
      <c r="AP18" s="3"/>
      <c r="AQ18" s="3"/>
      <c r="AR18" s="3"/>
    </row>
    <row r="19" spans="1:44" ht="15.75" customHeight="1">
      <c r="A19" s="3"/>
      <c r="B19" s="800"/>
      <c r="C19" s="20"/>
      <c r="D19" s="820" t="s">
        <v>310</v>
      </c>
      <c r="E19" s="719"/>
      <c r="F19" s="720"/>
      <c r="G19" s="28"/>
      <c r="H19" s="28"/>
      <c r="I19" s="28"/>
      <c r="J19" s="77">
        <f>IF($K$7="Commercial",5,8)</f>
        <v>5</v>
      </c>
      <c r="K19" s="77">
        <f>IF($K$7="Commercial",0.5,1)</f>
        <v>0.5</v>
      </c>
      <c r="L19" s="78">
        <f>IF($K$7="Commercial",0.25,1)</f>
        <v>0.25</v>
      </c>
      <c r="M19" s="20"/>
      <c r="N19" s="66"/>
      <c r="O19" s="71" t="s">
        <v>317</v>
      </c>
      <c r="P19" s="72">
        <v>6</v>
      </c>
      <c r="Q19" s="72">
        <v>10</v>
      </c>
      <c r="R19" s="66"/>
      <c r="S19" s="20"/>
      <c r="T19" s="19" t="s">
        <v>260</v>
      </c>
      <c r="U19" s="88" t="s">
        <v>319</v>
      </c>
      <c r="V19" s="88" t="s">
        <v>319</v>
      </c>
      <c r="W19" s="88">
        <v>1</v>
      </c>
      <c r="X19" s="88">
        <v>0.2</v>
      </c>
      <c r="Y19" s="3"/>
      <c r="Z19" s="3"/>
      <c r="AA19" s="3"/>
      <c r="AB19" s="3"/>
      <c r="AC19" s="3"/>
      <c r="AD19" s="3"/>
      <c r="AE19" s="3"/>
      <c r="AF19" s="3"/>
      <c r="AG19" s="3"/>
      <c r="AH19" s="3"/>
      <c r="AI19" s="3"/>
      <c r="AJ19" s="3"/>
      <c r="AK19" s="3"/>
      <c r="AL19" s="3"/>
      <c r="AM19" s="3"/>
      <c r="AN19" s="3"/>
      <c r="AO19" s="3"/>
      <c r="AP19" s="3"/>
      <c r="AQ19" s="3"/>
      <c r="AR19" s="3"/>
    </row>
    <row r="20" spans="1:44" ht="15.75" customHeight="1">
      <c r="A20" s="3"/>
      <c r="B20" s="800"/>
      <c r="C20" s="20"/>
      <c r="D20" s="820" t="s">
        <v>320</v>
      </c>
      <c r="E20" s="719"/>
      <c r="F20" s="720"/>
      <c r="G20" s="28"/>
      <c r="H20" s="46">
        <f t="shared" ref="H20:I20" si="6">H18*H16</f>
        <v>143</v>
      </c>
      <c r="I20" s="46">
        <f t="shared" si="6"/>
        <v>32.5</v>
      </c>
      <c r="J20" s="46">
        <f t="shared" ref="J20:L20" si="7">J18*J16*J19</f>
        <v>65</v>
      </c>
      <c r="K20" s="46">
        <f t="shared" si="7"/>
        <v>48.75</v>
      </c>
      <c r="L20" s="94">
        <f t="shared" si="7"/>
        <v>35.75</v>
      </c>
      <c r="M20" s="20"/>
      <c r="N20" s="66"/>
      <c r="O20" s="71" t="s">
        <v>323</v>
      </c>
      <c r="P20" s="72">
        <v>45.150000000000006</v>
      </c>
      <c r="Q20" s="72">
        <v>75.25</v>
      </c>
      <c r="R20" s="66"/>
      <c r="S20" s="20"/>
      <c r="T20" s="19" t="s">
        <v>324</v>
      </c>
      <c r="U20" s="88">
        <v>2.2000000000000002</v>
      </c>
      <c r="V20" s="88">
        <v>1.8</v>
      </c>
      <c r="W20" s="88">
        <v>2.2000000000000002</v>
      </c>
      <c r="X20" s="88">
        <v>1.28</v>
      </c>
      <c r="Y20" s="3"/>
      <c r="Z20" s="3"/>
      <c r="AA20" s="3"/>
      <c r="AB20" s="3"/>
      <c r="AC20" s="3"/>
      <c r="AD20" s="3"/>
      <c r="AE20" s="3"/>
      <c r="AF20" s="3"/>
      <c r="AG20" s="3"/>
      <c r="AH20" s="3"/>
      <c r="AI20" s="3"/>
      <c r="AJ20" s="3"/>
      <c r="AK20" s="3"/>
      <c r="AL20" s="3"/>
      <c r="AM20" s="3"/>
      <c r="AN20" s="3"/>
      <c r="AO20" s="3"/>
      <c r="AP20" s="3"/>
      <c r="AQ20" s="3"/>
      <c r="AR20" s="3"/>
    </row>
    <row r="21" spans="1:44" ht="15.75" customHeight="1">
      <c r="A21" s="3"/>
      <c r="B21" s="800"/>
      <c r="C21" s="20"/>
      <c r="D21" s="838" t="s">
        <v>325</v>
      </c>
      <c r="E21" s="839"/>
      <c r="F21" s="840"/>
      <c r="G21" s="39"/>
      <c r="H21" s="95">
        <f t="shared" ref="H21:L21" si="8">H20*$H$7</f>
        <v>52195</v>
      </c>
      <c r="I21" s="95">
        <f t="shared" si="8"/>
        <v>11862.5</v>
      </c>
      <c r="J21" s="95">
        <f t="shared" si="8"/>
        <v>23725</v>
      </c>
      <c r="K21" s="95">
        <f t="shared" si="8"/>
        <v>17793.75</v>
      </c>
      <c r="L21" s="96">
        <f t="shared" si="8"/>
        <v>13048.75</v>
      </c>
      <c r="M21" s="20"/>
      <c r="N21" s="66"/>
      <c r="O21" s="71" t="s">
        <v>318</v>
      </c>
      <c r="P21" s="72">
        <v>2.5499999999999998</v>
      </c>
      <c r="Q21" s="72">
        <v>4.25</v>
      </c>
      <c r="R21" s="66"/>
      <c r="S21" s="20"/>
      <c r="T21" s="66"/>
      <c r="U21" s="66"/>
      <c r="V21" s="66"/>
      <c r="W21" s="66"/>
      <c r="X21" s="66"/>
      <c r="Y21" s="3"/>
      <c r="Z21" s="3"/>
      <c r="AA21" s="3"/>
      <c r="AB21" s="3"/>
      <c r="AC21" s="3"/>
      <c r="AD21" s="3"/>
      <c r="AE21" s="3"/>
      <c r="AF21" s="3"/>
      <c r="AG21" s="3"/>
      <c r="AH21" s="3"/>
      <c r="AI21" s="3"/>
      <c r="AJ21" s="3"/>
      <c r="AK21" s="3"/>
      <c r="AL21" s="3"/>
      <c r="AM21" s="3"/>
      <c r="AN21" s="3"/>
      <c r="AO21" s="3"/>
      <c r="AP21" s="3"/>
      <c r="AQ21" s="3"/>
      <c r="AR21" s="3"/>
    </row>
    <row r="22" spans="1:44" ht="15.75" customHeight="1">
      <c r="A22" s="3"/>
      <c r="B22" s="800"/>
      <c r="C22" s="20"/>
      <c r="D22" s="90"/>
      <c r="E22" s="28"/>
      <c r="F22" s="28"/>
      <c r="G22" s="28"/>
      <c r="H22" s="28"/>
      <c r="I22" s="28"/>
      <c r="J22" s="28"/>
      <c r="K22" s="28"/>
      <c r="L22" s="35"/>
      <c r="M22" s="20"/>
      <c r="N22" s="66"/>
      <c r="O22" s="66"/>
      <c r="P22" s="66"/>
      <c r="Q22" s="66"/>
      <c r="R22" s="66"/>
      <c r="S22" s="20"/>
      <c r="T22" s="66"/>
      <c r="U22" s="66"/>
      <c r="V22" s="66"/>
      <c r="W22" s="66"/>
      <c r="X22" s="66"/>
      <c r="Y22" s="3"/>
      <c r="Z22" s="3"/>
      <c r="AA22" s="3"/>
      <c r="AB22" s="3"/>
      <c r="AC22" s="3"/>
      <c r="AD22" s="3"/>
      <c r="AE22" s="3"/>
      <c r="AF22" s="3"/>
      <c r="AG22" s="3"/>
      <c r="AH22" s="3"/>
      <c r="AI22" s="3"/>
      <c r="AJ22" s="3"/>
      <c r="AK22" s="3"/>
      <c r="AL22" s="3"/>
      <c r="AM22" s="3"/>
      <c r="AN22" s="3"/>
      <c r="AO22" s="3"/>
      <c r="AP22" s="3"/>
      <c r="AQ22" s="3"/>
      <c r="AR22" s="3"/>
    </row>
    <row r="23" spans="1:44" ht="15.75" customHeight="1">
      <c r="A23" s="3"/>
      <c r="B23" s="800"/>
      <c r="C23" s="20"/>
      <c r="D23" s="852" t="s">
        <v>330</v>
      </c>
      <c r="E23" s="719"/>
      <c r="F23" s="720"/>
      <c r="G23" s="97">
        <f>SUM(H20:K20)</f>
        <v>289.25</v>
      </c>
      <c r="H23" s="852" t="s">
        <v>336</v>
      </c>
      <c r="I23" s="719"/>
      <c r="J23" s="720"/>
      <c r="K23" s="99">
        <f>SUM(H21:K21)</f>
        <v>105576.25</v>
      </c>
      <c r="L23" s="35"/>
      <c r="M23" s="20"/>
      <c r="N23" s="66"/>
      <c r="O23" s="71" t="s">
        <v>345</v>
      </c>
      <c r="P23" s="853" t="s">
        <v>346</v>
      </c>
      <c r="Q23" s="720"/>
      <c r="R23" s="66"/>
      <c r="S23" s="20"/>
      <c r="T23" s="66"/>
      <c r="U23" s="66"/>
      <c r="V23" s="66"/>
      <c r="W23" s="66"/>
      <c r="X23" s="66"/>
      <c r="Y23" s="3"/>
      <c r="Z23" s="3"/>
      <c r="AA23" s="3"/>
      <c r="AB23" s="3"/>
      <c r="AC23" s="3"/>
      <c r="AD23" s="3"/>
      <c r="AE23" s="3"/>
      <c r="AF23" s="3"/>
      <c r="AG23" s="3"/>
      <c r="AH23" s="3"/>
      <c r="AI23" s="3"/>
      <c r="AJ23" s="3"/>
      <c r="AK23" s="3"/>
      <c r="AL23" s="3"/>
      <c r="AM23" s="3"/>
      <c r="AN23" s="3"/>
      <c r="AO23" s="3"/>
      <c r="AP23" s="3"/>
      <c r="AQ23" s="3"/>
      <c r="AR23" s="3"/>
    </row>
    <row r="24" spans="1:44" ht="15.75" customHeight="1">
      <c r="A24" s="3"/>
      <c r="B24" s="801"/>
      <c r="C24" s="20"/>
      <c r="D24" s="100"/>
      <c r="E24" s="64"/>
      <c r="F24" s="64"/>
      <c r="G24" s="64"/>
      <c r="H24" s="64"/>
      <c r="I24" s="64"/>
      <c r="J24" s="64"/>
      <c r="K24" s="64"/>
      <c r="L24" s="65"/>
      <c r="M24" s="20"/>
      <c r="N24" s="66"/>
      <c r="O24" s="66"/>
      <c r="P24" s="66"/>
      <c r="Q24" s="66"/>
      <c r="R24" s="66"/>
      <c r="S24" s="20"/>
      <c r="T24" s="66"/>
      <c r="U24" s="66"/>
      <c r="V24" s="66"/>
      <c r="W24" s="66"/>
      <c r="X24" s="66"/>
      <c r="Y24" s="3"/>
      <c r="Z24" s="3"/>
      <c r="AA24" s="3"/>
      <c r="AB24" s="3"/>
      <c r="AC24" s="3"/>
      <c r="AD24" s="3"/>
      <c r="AE24" s="3"/>
      <c r="AF24" s="3"/>
      <c r="AG24" s="3"/>
      <c r="AH24" s="3"/>
      <c r="AI24" s="3"/>
      <c r="AJ24" s="3"/>
      <c r="AK24" s="3"/>
      <c r="AL24" s="3"/>
      <c r="AM24" s="3"/>
      <c r="AN24" s="3"/>
      <c r="AO24" s="3"/>
      <c r="AP24" s="3"/>
      <c r="AQ24" s="3"/>
      <c r="AR24" s="3"/>
    </row>
    <row r="25" spans="1:44" ht="15.75" customHeight="1">
      <c r="A25" s="3"/>
      <c r="B25" s="20"/>
      <c r="C25" s="20"/>
      <c r="D25" s="20"/>
      <c r="E25" s="20"/>
      <c r="F25" s="20"/>
      <c r="G25" s="20"/>
      <c r="H25" s="20"/>
      <c r="I25" s="20"/>
      <c r="J25" s="20"/>
      <c r="K25" s="20"/>
      <c r="L25" s="20"/>
      <c r="M25" s="20"/>
      <c r="N25" s="20"/>
      <c r="O25" s="20"/>
      <c r="P25" s="20"/>
      <c r="Q25" s="20"/>
      <c r="R25" s="20"/>
      <c r="S25" s="20"/>
      <c r="T25" s="20"/>
      <c r="U25" s="20"/>
      <c r="V25" s="20"/>
      <c r="W25" s="20"/>
      <c r="X25" s="3"/>
      <c r="Y25" s="3"/>
      <c r="Z25" s="3"/>
      <c r="AA25" s="3"/>
      <c r="AB25" s="3"/>
      <c r="AC25" s="3"/>
      <c r="AD25" s="3"/>
      <c r="AE25" s="3"/>
      <c r="AF25" s="3"/>
      <c r="AG25" s="3"/>
      <c r="AH25" s="3"/>
      <c r="AI25" s="3"/>
      <c r="AJ25" s="3"/>
      <c r="AK25" s="3"/>
      <c r="AL25" s="3"/>
      <c r="AM25" s="3"/>
      <c r="AN25" s="3"/>
      <c r="AO25" s="3"/>
      <c r="AP25" s="3"/>
      <c r="AQ25" s="3"/>
      <c r="AR25" s="3"/>
    </row>
    <row r="26" spans="1:44" ht="15.75" customHeight="1">
      <c r="A26" s="3"/>
      <c r="B26" s="20"/>
      <c r="C26" s="20"/>
      <c r="D26" s="859" t="s">
        <v>349</v>
      </c>
      <c r="E26" s="719"/>
      <c r="F26" s="719"/>
      <c r="G26" s="720"/>
      <c r="H26" s="20"/>
      <c r="I26" s="20"/>
      <c r="J26" s="20"/>
      <c r="K26" s="20"/>
      <c r="L26" s="20"/>
      <c r="M26" s="20"/>
      <c r="N26" s="20"/>
      <c r="O26" s="20"/>
      <c r="P26" s="20"/>
      <c r="Q26" s="20"/>
      <c r="R26" s="20"/>
      <c r="S26" s="20"/>
      <c r="T26" s="20"/>
      <c r="U26" s="20"/>
      <c r="V26" s="20"/>
      <c r="W26" s="20"/>
      <c r="X26" s="3"/>
      <c r="Y26" s="3"/>
      <c r="Z26" s="3"/>
      <c r="AA26" s="3"/>
      <c r="AB26" s="3"/>
      <c r="AC26" s="3"/>
      <c r="AD26" s="3"/>
      <c r="AE26" s="3"/>
      <c r="AF26" s="3"/>
      <c r="AG26" s="3"/>
      <c r="AH26" s="3"/>
      <c r="AI26" s="3"/>
      <c r="AJ26" s="3"/>
      <c r="AK26" s="3"/>
      <c r="AL26" s="3"/>
      <c r="AM26" s="3"/>
      <c r="AN26" s="3"/>
      <c r="AO26" s="3"/>
      <c r="AP26" s="3"/>
      <c r="AQ26" s="3"/>
      <c r="AR26" s="3"/>
    </row>
    <row r="27" spans="1:44" ht="15.75" customHeight="1">
      <c r="A27" s="3"/>
      <c r="B27" s="806" t="s">
        <v>350</v>
      </c>
      <c r="C27" s="20"/>
      <c r="D27" s="851"/>
      <c r="E27" s="663"/>
      <c r="F27" s="663"/>
      <c r="G27" s="832"/>
      <c r="H27" s="105"/>
      <c r="I27" s="105"/>
      <c r="J27" s="105"/>
      <c r="K27" s="106"/>
      <c r="L27" s="107"/>
      <c r="M27" s="20"/>
      <c r="N27" s="19" t="s">
        <v>357</v>
      </c>
      <c r="O27" s="66"/>
      <c r="P27" s="66"/>
      <c r="Q27" s="66"/>
      <c r="R27" s="66"/>
      <c r="S27" s="20"/>
      <c r="T27" s="20"/>
      <c r="U27" s="20"/>
      <c r="V27" s="20"/>
      <c r="W27" s="20"/>
      <c r="X27" s="3"/>
      <c r="Y27" s="3"/>
      <c r="Z27" s="3"/>
      <c r="AA27" s="3"/>
      <c r="AB27" s="3"/>
      <c r="AC27" s="3"/>
      <c r="AD27" s="3"/>
      <c r="AE27" s="3"/>
      <c r="AF27" s="3"/>
      <c r="AG27" s="3"/>
      <c r="AH27" s="3"/>
      <c r="AI27" s="3"/>
      <c r="AJ27" s="3"/>
      <c r="AK27" s="3"/>
      <c r="AL27" s="3"/>
      <c r="AM27" s="3"/>
      <c r="AN27" s="3"/>
      <c r="AO27" s="3"/>
      <c r="AP27" s="3"/>
      <c r="AQ27" s="3"/>
      <c r="AR27" s="3"/>
    </row>
    <row r="28" spans="1:44" ht="15.75" customHeight="1">
      <c r="A28" s="3"/>
      <c r="B28" s="800"/>
      <c r="C28" s="20"/>
      <c r="D28" s="825" t="s">
        <v>358</v>
      </c>
      <c r="E28" s="719"/>
      <c r="F28" s="719"/>
      <c r="G28" s="720"/>
      <c r="H28" s="334" t="s">
        <v>359</v>
      </c>
      <c r="I28" s="57"/>
      <c r="J28" s="57"/>
      <c r="K28" s="57"/>
      <c r="L28" s="109"/>
      <c r="M28" s="20"/>
      <c r="N28" s="19" t="s">
        <v>360</v>
      </c>
      <c r="O28" s="66"/>
      <c r="P28" s="66"/>
      <c r="Q28" s="66"/>
      <c r="R28" s="66"/>
      <c r="S28" s="20"/>
      <c r="T28" s="20"/>
      <c r="U28" s="20"/>
      <c r="V28" s="20"/>
      <c r="W28" s="20"/>
      <c r="X28" s="3"/>
      <c r="Y28" s="3"/>
      <c r="Z28" s="3"/>
      <c r="AA28" s="3"/>
      <c r="AB28" s="3"/>
      <c r="AC28" s="3"/>
      <c r="AD28" s="3"/>
      <c r="AE28" s="3"/>
      <c r="AF28" s="3"/>
      <c r="AG28" s="3"/>
      <c r="AH28" s="3"/>
      <c r="AI28" s="3"/>
      <c r="AJ28" s="3"/>
      <c r="AK28" s="3"/>
      <c r="AL28" s="3"/>
      <c r="AM28" s="3"/>
      <c r="AN28" s="3"/>
      <c r="AO28" s="3"/>
      <c r="AP28" s="3"/>
      <c r="AQ28" s="3"/>
      <c r="AR28" s="3"/>
    </row>
    <row r="29" spans="1:44" ht="15.75" customHeight="1">
      <c r="A29" s="3"/>
      <c r="B29" s="801"/>
      <c r="C29" s="20"/>
      <c r="D29" s="837"/>
      <c r="E29" s="716"/>
      <c r="F29" s="716"/>
      <c r="G29" s="717"/>
      <c r="H29" s="110"/>
      <c r="I29" s="110"/>
      <c r="J29" s="111"/>
      <c r="K29" s="111"/>
      <c r="L29" s="112"/>
      <c r="M29" s="20"/>
      <c r="N29" s="66"/>
      <c r="O29" s="66"/>
      <c r="P29" s="66"/>
      <c r="Q29" s="66"/>
      <c r="R29" s="66"/>
      <c r="S29" s="20"/>
      <c r="T29" s="20"/>
      <c r="U29" s="20"/>
      <c r="V29" s="20"/>
      <c r="W29" s="20"/>
      <c r="X29" s="3"/>
      <c r="Y29" s="3"/>
      <c r="Z29" s="3"/>
      <c r="AA29" s="3"/>
      <c r="AB29" s="3"/>
      <c r="AC29" s="3"/>
      <c r="AD29" s="3"/>
      <c r="AE29" s="3"/>
      <c r="AF29" s="3"/>
      <c r="AG29" s="3"/>
      <c r="AH29" s="3"/>
      <c r="AI29" s="3"/>
      <c r="AJ29" s="3"/>
      <c r="AK29" s="3"/>
      <c r="AL29" s="3"/>
      <c r="AM29" s="3"/>
      <c r="AN29" s="3"/>
      <c r="AO29" s="3"/>
      <c r="AP29" s="3"/>
      <c r="AQ29" s="3"/>
      <c r="AR29" s="3"/>
    </row>
    <row r="30" spans="1:44" s="432" customFormat="1" ht="15.75" customHeight="1">
      <c r="A30" s="307"/>
      <c r="B30" s="433"/>
      <c r="C30" s="3"/>
      <c r="D30" s="3"/>
      <c r="E30" s="3"/>
      <c r="F30" s="3"/>
      <c r="G30" s="3"/>
      <c r="H30" s="3"/>
      <c r="I30" s="3"/>
      <c r="J30" s="3"/>
      <c r="K30" s="3"/>
      <c r="L30" s="3"/>
      <c r="M30" s="3"/>
      <c r="N30" s="3"/>
      <c r="O30" s="3"/>
      <c r="P30" s="3"/>
      <c r="Q30" s="3"/>
      <c r="R30" s="3"/>
      <c r="S30" s="3"/>
      <c r="T30" s="3"/>
      <c r="U30" s="308"/>
      <c r="V30" s="308"/>
      <c r="W30" s="308"/>
      <c r="X30" s="307"/>
      <c r="Y30" s="307"/>
      <c r="Z30" s="307"/>
      <c r="AA30" s="307"/>
      <c r="AB30" s="307"/>
      <c r="AC30" s="307"/>
      <c r="AD30" s="307"/>
      <c r="AE30" s="307"/>
      <c r="AF30" s="307"/>
      <c r="AG30" s="307"/>
      <c r="AH30" s="307"/>
      <c r="AI30" s="307"/>
      <c r="AJ30" s="307"/>
      <c r="AK30" s="307"/>
      <c r="AL30" s="307"/>
      <c r="AM30" s="307"/>
      <c r="AN30" s="307"/>
      <c r="AO30" s="307"/>
      <c r="AP30" s="307"/>
      <c r="AQ30" s="307"/>
      <c r="AR30" s="307"/>
    </row>
    <row r="31" spans="1:44" ht="15.75" customHeight="1">
      <c r="A31" s="3"/>
      <c r="B31" s="3"/>
      <c r="C31" s="3"/>
      <c r="D31" s="859" t="s">
        <v>1022</v>
      </c>
      <c r="E31" s="719"/>
      <c r="F31" s="719"/>
      <c r="G31" s="720"/>
      <c r="H31" s="3"/>
      <c r="I31" s="3"/>
      <c r="J31" s="3"/>
      <c r="K31" s="3"/>
      <c r="L31" s="3"/>
      <c r="M31" s="3"/>
      <c r="N31" s="3"/>
      <c r="O31" s="3"/>
      <c r="P31" s="3"/>
      <c r="Q31" s="3"/>
      <c r="R31" s="3"/>
      <c r="S31" s="3"/>
      <c r="T31" s="3"/>
      <c r="U31" s="3"/>
      <c r="V31" s="113"/>
      <c r="W31" s="20"/>
      <c r="X31" s="3"/>
      <c r="Y31" s="3"/>
      <c r="Z31" s="3"/>
      <c r="AA31" s="3"/>
      <c r="AB31" s="3"/>
      <c r="AC31" s="3"/>
      <c r="AD31" s="3"/>
      <c r="AE31" s="3"/>
      <c r="AF31" s="3"/>
      <c r="AG31" s="3"/>
      <c r="AH31" s="3"/>
      <c r="AI31" s="3"/>
      <c r="AJ31" s="3"/>
      <c r="AK31" s="3"/>
      <c r="AL31" s="3"/>
      <c r="AM31" s="3"/>
      <c r="AN31" s="3"/>
      <c r="AO31" s="3"/>
      <c r="AP31" s="3"/>
      <c r="AQ31" s="3"/>
      <c r="AR31" s="3"/>
    </row>
    <row r="32" spans="1:44" ht="28.5" customHeight="1">
      <c r="A32" s="3"/>
      <c r="B32" s="799" t="s">
        <v>361</v>
      </c>
      <c r="C32" s="20"/>
      <c r="D32" s="857"/>
      <c r="E32" s="858"/>
      <c r="F32" s="858"/>
      <c r="G32" s="856"/>
      <c r="H32" s="855" t="s">
        <v>363</v>
      </c>
      <c r="I32" s="856"/>
      <c r="J32" s="103"/>
      <c r="K32" s="114" t="s">
        <v>364</v>
      </c>
      <c r="L32" s="115" t="s">
        <v>365</v>
      </c>
      <c r="M32" s="20"/>
      <c r="N32" s="66" t="s">
        <v>366</v>
      </c>
      <c r="O32" s="66"/>
      <c r="P32" s="66"/>
      <c r="Q32" s="66" t="s">
        <v>1086</v>
      </c>
      <c r="R32" s="66"/>
      <c r="S32" s="20"/>
      <c r="T32" s="66" t="s">
        <v>367</v>
      </c>
      <c r="U32" s="66"/>
      <c r="V32" s="66"/>
      <c r="W32" s="66"/>
      <c r="X32" s="66"/>
      <c r="Y32" s="3"/>
      <c r="Z32" s="3"/>
      <c r="AA32" s="3"/>
      <c r="AB32" s="3"/>
      <c r="AC32" s="3"/>
      <c r="AD32" s="3"/>
      <c r="AE32" s="3"/>
      <c r="AF32" s="3"/>
      <c r="AG32" s="3"/>
      <c r="AH32" s="3"/>
      <c r="AI32" s="3"/>
      <c r="AJ32" s="3"/>
      <c r="AK32" s="3"/>
      <c r="AL32" s="3"/>
      <c r="AM32" s="3"/>
      <c r="AN32" s="3"/>
      <c r="AO32" s="3"/>
      <c r="AP32" s="3"/>
      <c r="AQ32" s="3"/>
      <c r="AR32" s="3"/>
    </row>
    <row r="33" spans="1:44" ht="15.75" customHeight="1">
      <c r="A33" s="3"/>
      <c r="B33" s="800"/>
      <c r="C33" s="20"/>
      <c r="D33" s="820" t="s">
        <v>368</v>
      </c>
      <c r="E33" s="719"/>
      <c r="F33" s="719"/>
      <c r="G33" s="720"/>
      <c r="H33" s="322">
        <v>300</v>
      </c>
      <c r="I33" s="30" t="s">
        <v>64</v>
      </c>
      <c r="J33" s="28"/>
      <c r="K33" s="116">
        <f>H33</f>
        <v>300</v>
      </c>
      <c r="L33" s="117">
        <f>H33</f>
        <v>300</v>
      </c>
      <c r="M33" s="20"/>
      <c r="N33" s="37" t="s">
        <v>369</v>
      </c>
      <c r="O33" s="37" t="s">
        <v>370</v>
      </c>
      <c r="P33" s="66"/>
      <c r="Q33" s="68" t="s">
        <v>371</v>
      </c>
      <c r="R33" s="69" t="s">
        <v>372</v>
      </c>
      <c r="S33" s="20"/>
      <c r="T33" s="854" t="str">
        <f>HYPERLINK("http://bseacd.org/uploads/BSEACD_Irr_Demand_Meth_Rprt_2014_Final_140424.pdf","Methodology for Estimating Landscape Irrigation Demand ")</f>
        <v xml:space="preserve">Methodology for Estimating Landscape Irrigation Demand </v>
      </c>
      <c r="U33" s="808"/>
      <c r="V33" s="808"/>
      <c r="W33" s="809"/>
      <c r="X33" s="66"/>
      <c r="Y33" s="3"/>
      <c r="Z33" s="3"/>
      <c r="AA33" s="3"/>
      <c r="AB33" s="3"/>
      <c r="AC33" s="3"/>
      <c r="AD33" s="3"/>
      <c r="AE33" s="3"/>
      <c r="AF33" s="3"/>
      <c r="AG33" s="3"/>
      <c r="AH33" s="3"/>
      <c r="AI33" s="3"/>
      <c r="AJ33" s="3"/>
      <c r="AK33" s="3"/>
      <c r="AL33" s="3"/>
      <c r="AM33" s="3"/>
      <c r="AN33" s="3"/>
      <c r="AO33" s="3"/>
      <c r="AP33" s="3"/>
      <c r="AQ33" s="3"/>
      <c r="AR33" s="3"/>
    </row>
    <row r="34" spans="1:44" ht="15.75" customHeight="1">
      <c r="A34" s="3"/>
      <c r="B34" s="800"/>
      <c r="C34" s="20"/>
      <c r="D34" s="820" t="s">
        <v>373</v>
      </c>
      <c r="E34" s="719"/>
      <c r="F34" s="719"/>
      <c r="G34" s="720"/>
      <c r="H34" s="334" t="s">
        <v>374</v>
      </c>
      <c r="I34" s="53">
        <f>_xlfn.IFS($H$34="Cool Humid",3.8,$H$34="Cool Dry",5.8,$H$34="Warm Humid",3.3,$H$34="Warm Dry",6.8,$H$34="Hot Humid",8.3,$H$34="Hot Dry",12)</f>
        <v>3.3</v>
      </c>
      <c r="J34" s="28"/>
      <c r="K34" s="53">
        <f>_xlfn.IFS($H$34="Cool Humid",3.8,$H$34="Cool Dry",5.8,$H$34="Warm Humid",3.3,$H$34="Warm Dry",6.8,$H$34="Hot Humid",8.3,$H$34="Hot Dry",12)</f>
        <v>3.3</v>
      </c>
      <c r="L34" s="118">
        <f>_xlfn.IFS($H$34="Cool Humid",3.8,$H$34="Cool Dry",5.8,$H$34="Warm Humid",3.3,$H$34="Warm Dry",6.8,$H$34="Hot Humid",8.3,$H$34="Hot Dry",12)</f>
        <v>3.3</v>
      </c>
      <c r="M34" s="20"/>
      <c r="N34" s="71" t="s">
        <v>384</v>
      </c>
      <c r="O34" s="88">
        <v>3.8</v>
      </c>
      <c r="P34" s="66"/>
      <c r="Q34" s="71" t="s">
        <v>385</v>
      </c>
      <c r="R34" s="88">
        <v>1</v>
      </c>
      <c r="S34" s="20"/>
      <c r="T34" s="810"/>
      <c r="U34" s="811"/>
      <c r="V34" s="811"/>
      <c r="W34" s="812"/>
      <c r="X34" s="66"/>
      <c r="Y34" s="3"/>
      <c r="Z34" s="3"/>
      <c r="AA34" s="3"/>
      <c r="AB34" s="3"/>
      <c r="AC34" s="3"/>
      <c r="AD34" s="3"/>
      <c r="AE34" s="3"/>
      <c r="AF34" s="3"/>
      <c r="AG34" s="3"/>
      <c r="AH34" s="3"/>
      <c r="AI34" s="3"/>
      <c r="AJ34" s="3"/>
      <c r="AK34" s="3"/>
      <c r="AL34" s="3"/>
      <c r="AM34" s="3"/>
      <c r="AN34" s="3"/>
      <c r="AO34" s="3"/>
      <c r="AP34" s="3"/>
      <c r="AQ34" s="3"/>
      <c r="AR34" s="3"/>
    </row>
    <row r="35" spans="1:44" ht="15.75" customHeight="1">
      <c r="A35" s="3"/>
      <c r="B35" s="800"/>
      <c r="C35" s="20"/>
      <c r="D35" s="820" t="s">
        <v>386</v>
      </c>
      <c r="E35" s="719"/>
      <c r="F35" s="719"/>
      <c r="G35" s="720"/>
      <c r="H35" s="334" t="s">
        <v>926</v>
      </c>
      <c r="I35" s="53">
        <f>_xlfn.IFS($H$35="No water stress",1,$H$35="Baseline",0.8,$H$35="Some water stress",0.4)</f>
        <v>0.4</v>
      </c>
      <c r="J35" s="28"/>
      <c r="K35" s="53">
        <f>_xlfn.IFS($H$35="No water stress",1,$H$35="Baseline",0.8,$H$35="Some water stress",0.4)</f>
        <v>0.4</v>
      </c>
      <c r="L35" s="118">
        <f>_xlfn.IFS($H$35="No water stress",1,$H$35="Baseline",0.8,$H$35="Some water stress",0.4)</f>
        <v>0.4</v>
      </c>
      <c r="M35" s="20"/>
      <c r="N35" s="71" t="s">
        <v>391</v>
      </c>
      <c r="O35" s="88">
        <v>5.3</v>
      </c>
      <c r="P35" s="19"/>
      <c r="Q35" s="71" t="s">
        <v>1023</v>
      </c>
      <c r="R35" s="88">
        <v>1</v>
      </c>
      <c r="S35" s="20"/>
      <c r="T35" s="66"/>
      <c r="U35" s="66"/>
      <c r="V35" s="66"/>
      <c r="W35" s="66"/>
      <c r="X35" s="66"/>
      <c r="Y35" s="3"/>
      <c r="Z35" s="3"/>
      <c r="AA35" s="3"/>
      <c r="AB35" s="3"/>
      <c r="AC35" s="3"/>
      <c r="AD35" s="3"/>
      <c r="AE35" s="3"/>
      <c r="AF35" s="3"/>
      <c r="AG35" s="3"/>
      <c r="AH35" s="3"/>
      <c r="AI35" s="3"/>
      <c r="AJ35" s="3"/>
      <c r="AK35" s="3"/>
      <c r="AL35" s="3"/>
      <c r="AM35" s="3"/>
      <c r="AN35" s="3"/>
      <c r="AO35" s="3"/>
      <c r="AP35" s="3"/>
      <c r="AQ35" s="3"/>
      <c r="AR35" s="3"/>
    </row>
    <row r="36" spans="1:44" ht="15.75" customHeight="1">
      <c r="A36" s="3"/>
      <c r="B36" s="800"/>
      <c r="C36" s="20"/>
      <c r="D36" s="820" t="s">
        <v>392</v>
      </c>
      <c r="E36" s="719"/>
      <c r="F36" s="719"/>
      <c r="G36" s="720"/>
      <c r="H36" s="334" t="s">
        <v>927</v>
      </c>
      <c r="I36" s="53">
        <f>_xlfn.IFS($H$36="Turf grass",1,$H$36="Vegetable garden",1,$H$36="Annual flowers",0.8,$H$36="Orchard - evergreen",0.8,$H$36="Orchard - Deciduous",0.7,$H$36="Perennial flowers",0.7,$H$36="Ground cover",0.6,$H$36="Trees",0.6,$H$36="Shrubs",0.6,$H$36="Native Plants",0.2,$H$36="Xeriscape",0)</f>
        <v>0.2</v>
      </c>
      <c r="J36" s="28"/>
      <c r="K36" s="53">
        <v>1</v>
      </c>
      <c r="L36" s="118">
        <v>0.2</v>
      </c>
      <c r="M36" s="20"/>
      <c r="N36" s="71" t="s">
        <v>374</v>
      </c>
      <c r="O36" s="88">
        <v>5.3</v>
      </c>
      <c r="P36" s="19"/>
      <c r="Q36" s="71" t="s">
        <v>394</v>
      </c>
      <c r="R36" s="88">
        <v>0.8</v>
      </c>
      <c r="S36" s="20"/>
      <c r="T36" s="805" t="s">
        <v>1088</v>
      </c>
      <c r="U36" s="805"/>
      <c r="V36" s="805"/>
      <c r="W36" s="805"/>
      <c r="X36" s="805"/>
      <c r="Y36" s="3"/>
      <c r="Z36" s="3"/>
      <c r="AA36" s="3"/>
      <c r="AB36" s="3"/>
      <c r="AC36" s="3"/>
      <c r="AD36" s="3"/>
      <c r="AE36" s="3"/>
      <c r="AF36" s="3"/>
      <c r="AG36" s="3"/>
      <c r="AH36" s="3"/>
      <c r="AI36" s="3"/>
      <c r="AJ36" s="3"/>
      <c r="AK36" s="3"/>
      <c r="AL36" s="3"/>
      <c r="AM36" s="3"/>
      <c r="AN36" s="3"/>
      <c r="AO36" s="3"/>
      <c r="AP36" s="3"/>
      <c r="AQ36" s="3"/>
      <c r="AR36" s="3"/>
    </row>
    <row r="37" spans="1:44" ht="15.75" customHeight="1" thickBot="1">
      <c r="A37" s="3"/>
      <c r="B37" s="800"/>
      <c r="C37" s="20"/>
      <c r="D37" s="820" t="s">
        <v>395</v>
      </c>
      <c r="E37" s="719"/>
      <c r="F37" s="719"/>
      <c r="G37" s="720"/>
      <c r="H37" s="334" t="s">
        <v>396</v>
      </c>
      <c r="I37" s="53">
        <f>_xlfn.IFS($H$37="Drip Irrigation",0.9,$H$37="Sprinklers",0.75,$H$37="Sprinklers on a slope",0.6)</f>
        <v>0.9</v>
      </c>
      <c r="J37" s="28"/>
      <c r="K37" s="119">
        <v>0.75</v>
      </c>
      <c r="L37" s="120">
        <v>0.9</v>
      </c>
      <c r="M37" s="20"/>
      <c r="N37" s="71" t="s">
        <v>397</v>
      </c>
      <c r="O37" s="88">
        <v>6.8</v>
      </c>
      <c r="P37" s="19"/>
      <c r="Q37" s="71" t="s">
        <v>398</v>
      </c>
      <c r="R37" s="88">
        <v>0.8</v>
      </c>
      <c r="S37" s="20"/>
      <c r="T37" s="805"/>
      <c r="U37" s="805"/>
      <c r="V37" s="805"/>
      <c r="W37" s="805"/>
      <c r="X37" s="805"/>
      <c r="Y37" s="3"/>
      <c r="Z37" s="3"/>
      <c r="AA37" s="3"/>
      <c r="AB37" s="3"/>
      <c r="AC37" s="3"/>
      <c r="AD37" s="3"/>
      <c r="AE37" s="3"/>
      <c r="AF37" s="3"/>
      <c r="AG37" s="3"/>
      <c r="AH37" s="3"/>
      <c r="AI37" s="3"/>
      <c r="AJ37" s="3"/>
      <c r="AK37" s="3"/>
      <c r="AL37" s="3"/>
      <c r="AM37" s="3"/>
      <c r="AN37" s="3"/>
      <c r="AO37" s="3"/>
      <c r="AP37" s="3"/>
      <c r="AQ37" s="3"/>
      <c r="AR37" s="3"/>
    </row>
    <row r="38" spans="1:44" ht="15.75" customHeight="1" thickBot="1">
      <c r="A38" s="3"/>
      <c r="B38" s="800"/>
      <c r="C38" s="20"/>
      <c r="D38" s="90"/>
      <c r="E38" s="28"/>
      <c r="F38" s="28"/>
      <c r="G38" s="28"/>
      <c r="H38" s="28"/>
      <c r="I38" s="99">
        <f>H33*I34*I35*I36*0.623/I37</f>
        <v>54.823999999999998</v>
      </c>
      <c r="J38" s="28"/>
      <c r="K38" s="116">
        <f t="shared" ref="K38:L38" si="9">K33*K34*K35*K36*0.623/K37</f>
        <v>328.94400000000002</v>
      </c>
      <c r="L38" s="121">
        <f t="shared" si="9"/>
        <v>54.823999999999998</v>
      </c>
      <c r="M38" s="20"/>
      <c r="N38" s="71" t="s">
        <v>399</v>
      </c>
      <c r="O38" s="88">
        <v>8.3000000000000007</v>
      </c>
      <c r="P38" s="19"/>
      <c r="Q38" s="71" t="s">
        <v>400</v>
      </c>
      <c r="R38" s="88">
        <v>0.7</v>
      </c>
      <c r="S38" s="20"/>
      <c r="T38" s="805"/>
      <c r="U38" s="805"/>
      <c r="V38" s="805"/>
      <c r="W38" s="805"/>
      <c r="X38" s="805"/>
      <c r="Y38" s="3"/>
      <c r="Z38" s="3"/>
      <c r="AA38" s="3"/>
      <c r="AB38" s="3"/>
      <c r="AC38" s="3"/>
      <c r="AD38" s="3"/>
      <c r="AE38" s="3"/>
      <c r="AF38" s="3"/>
      <c r="AG38" s="3"/>
      <c r="AH38" s="3"/>
      <c r="AI38" s="3"/>
      <c r="AJ38" s="3"/>
      <c r="AK38" s="3"/>
      <c r="AL38" s="3"/>
      <c r="AM38" s="3"/>
      <c r="AN38" s="3"/>
      <c r="AO38" s="3"/>
      <c r="AP38" s="3"/>
      <c r="AQ38" s="3"/>
      <c r="AR38" s="3"/>
    </row>
    <row r="39" spans="1:44" ht="15.75" customHeight="1">
      <c r="A39" s="3"/>
      <c r="B39" s="800"/>
      <c r="C39" s="20"/>
      <c r="D39" s="818"/>
      <c r="E39" s="719"/>
      <c r="F39" s="719"/>
      <c r="G39" s="720"/>
      <c r="H39" s="28"/>
      <c r="I39" s="28"/>
      <c r="J39" s="27"/>
      <c r="K39" s="815" t="s">
        <v>401</v>
      </c>
      <c r="L39" s="816"/>
      <c r="M39" s="20"/>
      <c r="N39" s="71" t="s">
        <v>402</v>
      </c>
      <c r="O39" s="88">
        <v>12</v>
      </c>
      <c r="P39" s="19"/>
      <c r="Q39" s="71" t="s">
        <v>403</v>
      </c>
      <c r="R39" s="88">
        <v>0.7</v>
      </c>
      <c r="S39" s="20"/>
      <c r="T39" s="805"/>
      <c r="U39" s="805"/>
      <c r="V39" s="805"/>
      <c r="W39" s="805"/>
      <c r="X39" s="805"/>
      <c r="Y39" s="3"/>
      <c r="Z39" s="3"/>
      <c r="AA39" s="3"/>
      <c r="AB39" s="3"/>
      <c r="AC39" s="3"/>
      <c r="AD39" s="3"/>
      <c r="AE39" s="3"/>
      <c r="AF39" s="3"/>
      <c r="AG39" s="3"/>
      <c r="AH39" s="3"/>
      <c r="AI39" s="3"/>
      <c r="AJ39" s="3"/>
      <c r="AK39" s="3"/>
      <c r="AL39" s="3"/>
      <c r="AM39" s="3"/>
      <c r="AN39" s="3"/>
      <c r="AO39" s="3"/>
      <c r="AP39" s="3"/>
      <c r="AQ39" s="3"/>
      <c r="AR39" s="3"/>
    </row>
    <row r="40" spans="1:44" ht="15.75" customHeight="1">
      <c r="A40" s="3"/>
      <c r="B40" s="800"/>
      <c r="C40" s="20"/>
      <c r="D40" s="841" t="s">
        <v>404</v>
      </c>
      <c r="E40" s="839"/>
      <c r="F40" s="839"/>
      <c r="G40" s="840"/>
      <c r="H40" s="122" t="s">
        <v>405</v>
      </c>
      <c r="I40" s="122" t="s">
        <v>406</v>
      </c>
      <c r="J40" s="28"/>
      <c r="K40" s="123">
        <f>1-(I38/K38)</f>
        <v>0.83333333333333337</v>
      </c>
      <c r="L40" s="124">
        <f>1-(I38/L38)</f>
        <v>0</v>
      </c>
      <c r="M40" s="20"/>
      <c r="N40" s="19"/>
      <c r="O40" s="19"/>
      <c r="P40" s="19"/>
      <c r="Q40" s="71" t="s">
        <v>407</v>
      </c>
      <c r="R40" s="88">
        <v>0.6</v>
      </c>
      <c r="S40" s="20"/>
      <c r="T40" s="805"/>
      <c r="U40" s="805"/>
      <c r="V40" s="805"/>
      <c r="W40" s="805"/>
      <c r="X40" s="805"/>
      <c r="Y40" s="3"/>
      <c r="Z40" s="3"/>
      <c r="AA40" s="3"/>
      <c r="AB40" s="3"/>
      <c r="AC40" s="3"/>
      <c r="AD40" s="3"/>
      <c r="AE40" s="3"/>
      <c r="AF40" s="3"/>
      <c r="AG40" s="3"/>
      <c r="AH40" s="3"/>
      <c r="AI40" s="3"/>
      <c r="AJ40" s="3"/>
      <c r="AK40" s="3"/>
      <c r="AL40" s="3"/>
      <c r="AM40" s="3"/>
      <c r="AN40" s="3"/>
      <c r="AO40" s="3"/>
      <c r="AP40" s="3"/>
      <c r="AQ40" s="3"/>
      <c r="AR40" s="3"/>
    </row>
    <row r="41" spans="1:44" ht="15.75" customHeight="1">
      <c r="A41" s="3"/>
      <c r="B41" s="800"/>
      <c r="C41" s="20"/>
      <c r="D41" s="820" t="s">
        <v>408</v>
      </c>
      <c r="E41" s="719"/>
      <c r="F41" s="719"/>
      <c r="G41" s="720"/>
      <c r="H41" s="125">
        <v>0.31</v>
      </c>
      <c r="I41" s="116">
        <f t="shared" ref="I41:I52" si="10">$I$38*H41</f>
        <v>16.995439999999999</v>
      </c>
      <c r="J41" s="28"/>
      <c r="K41" s="28"/>
      <c r="L41" s="35"/>
      <c r="M41" s="20"/>
      <c r="N41" s="37" t="s">
        <v>1084</v>
      </c>
      <c r="O41" s="37"/>
      <c r="P41" s="66"/>
      <c r="Q41" s="71" t="s">
        <v>409</v>
      </c>
      <c r="R41" s="88">
        <v>0.6</v>
      </c>
      <c r="S41" s="20"/>
      <c r="T41" s="805" t="s">
        <v>1087</v>
      </c>
      <c r="U41" s="805"/>
      <c r="V41" s="805"/>
      <c r="W41" s="805"/>
      <c r="X41" s="805"/>
      <c r="Y41" s="3"/>
      <c r="Z41" s="3"/>
      <c r="AA41" s="3"/>
      <c r="AB41" s="3"/>
      <c r="AC41" s="3"/>
      <c r="AD41" s="3"/>
      <c r="AE41" s="3"/>
      <c r="AF41" s="3"/>
      <c r="AG41" s="3"/>
      <c r="AH41" s="3"/>
      <c r="AI41" s="3"/>
      <c r="AJ41" s="3"/>
      <c r="AK41" s="3"/>
      <c r="AL41" s="3"/>
      <c r="AM41" s="3"/>
      <c r="AN41" s="3"/>
      <c r="AO41" s="3"/>
      <c r="AP41" s="3"/>
      <c r="AQ41" s="3"/>
      <c r="AR41" s="3"/>
    </row>
    <row r="42" spans="1:44" ht="15.75" customHeight="1">
      <c r="A42" s="3"/>
      <c r="B42" s="800"/>
      <c r="C42" s="20"/>
      <c r="D42" s="820" t="s">
        <v>410</v>
      </c>
      <c r="E42" s="719"/>
      <c r="F42" s="719"/>
      <c r="G42" s="720"/>
      <c r="H42" s="125">
        <v>0.38</v>
      </c>
      <c r="I42" s="116">
        <f t="shared" si="10"/>
        <v>20.833120000000001</v>
      </c>
      <c r="J42" s="28"/>
      <c r="K42" s="28"/>
      <c r="L42" s="35"/>
      <c r="M42" s="20"/>
      <c r="N42" s="71" t="s">
        <v>411</v>
      </c>
      <c r="O42" s="88">
        <v>1</v>
      </c>
      <c r="P42" s="19"/>
      <c r="Q42" s="71" t="s">
        <v>393</v>
      </c>
      <c r="R42" s="88">
        <v>0.6</v>
      </c>
      <c r="S42" s="20"/>
      <c r="T42" s="805"/>
      <c r="U42" s="805"/>
      <c r="V42" s="805"/>
      <c r="W42" s="805"/>
      <c r="X42" s="805"/>
      <c r="Y42" s="3"/>
      <c r="Z42" s="3"/>
      <c r="AA42" s="3"/>
      <c r="AB42" s="3"/>
      <c r="AC42" s="3"/>
      <c r="AD42" s="3"/>
      <c r="AE42" s="3"/>
      <c r="AF42" s="3"/>
      <c r="AG42" s="3"/>
      <c r="AH42" s="3"/>
      <c r="AI42" s="3"/>
      <c r="AJ42" s="3"/>
      <c r="AK42" s="3"/>
      <c r="AL42" s="3"/>
      <c r="AM42" s="3"/>
      <c r="AN42" s="3"/>
      <c r="AO42" s="3"/>
      <c r="AP42" s="3"/>
      <c r="AQ42" s="3"/>
      <c r="AR42" s="3"/>
    </row>
    <row r="43" spans="1:44" ht="15.75" customHeight="1">
      <c r="A43" s="3"/>
      <c r="B43" s="800"/>
      <c r="C43" s="20"/>
      <c r="D43" s="820" t="s">
        <v>412</v>
      </c>
      <c r="E43" s="719"/>
      <c r="F43" s="719"/>
      <c r="G43" s="720"/>
      <c r="H43" s="125">
        <v>0.6</v>
      </c>
      <c r="I43" s="116">
        <f t="shared" si="10"/>
        <v>32.894399999999997</v>
      </c>
      <c r="J43" s="28"/>
      <c r="K43" s="28"/>
      <c r="L43" s="35"/>
      <c r="M43" s="20"/>
      <c r="N43" s="71" t="s">
        <v>41</v>
      </c>
      <c r="O43" s="88">
        <v>0.8</v>
      </c>
      <c r="P43" s="19"/>
      <c r="Q43" s="71" t="s">
        <v>413</v>
      </c>
      <c r="R43" s="88">
        <v>0.2</v>
      </c>
      <c r="S43" s="20"/>
      <c r="T43" s="599"/>
      <c r="U43" s="599"/>
      <c r="V43" s="599"/>
      <c r="W43" s="599"/>
      <c r="X43" s="599"/>
      <c r="Y43" s="3"/>
      <c r="Z43" s="3"/>
      <c r="AA43" s="3"/>
      <c r="AB43" s="3"/>
      <c r="AC43" s="3"/>
      <c r="AD43" s="3"/>
      <c r="AE43" s="3"/>
      <c r="AF43" s="3"/>
      <c r="AG43" s="3"/>
      <c r="AH43" s="3"/>
      <c r="AI43" s="3"/>
      <c r="AJ43" s="3"/>
      <c r="AK43" s="3"/>
      <c r="AL43" s="3"/>
      <c r="AM43" s="3"/>
      <c r="AN43" s="3"/>
      <c r="AO43" s="3"/>
      <c r="AP43" s="3"/>
      <c r="AQ43" s="3"/>
      <c r="AR43" s="3"/>
    </row>
    <row r="44" spans="1:44" ht="15.75" customHeight="1">
      <c r="A44" s="3"/>
      <c r="B44" s="800"/>
      <c r="C44" s="20"/>
      <c r="D44" s="820" t="s">
        <v>414</v>
      </c>
      <c r="E44" s="719"/>
      <c r="F44" s="719"/>
      <c r="G44" s="720"/>
      <c r="H44" s="125">
        <v>0.77</v>
      </c>
      <c r="I44" s="116">
        <f t="shared" si="10"/>
        <v>42.214480000000002</v>
      </c>
      <c r="J44" s="28"/>
      <c r="K44" s="28"/>
      <c r="L44" s="35"/>
      <c r="M44" s="20"/>
      <c r="N44" s="71" t="s">
        <v>415</v>
      </c>
      <c r="O44" s="88">
        <v>0.4</v>
      </c>
      <c r="P44" s="19"/>
      <c r="Q44" s="19"/>
      <c r="R44" s="19"/>
      <c r="S44" s="20"/>
      <c r="T44" s="805" t="s">
        <v>1089</v>
      </c>
      <c r="U44" s="805"/>
      <c r="V44" s="805"/>
      <c r="W44" s="805"/>
      <c r="X44" s="805"/>
      <c r="Y44" s="3"/>
      <c r="Z44" s="3"/>
      <c r="AA44" s="3"/>
      <c r="AB44" s="3"/>
      <c r="AC44" s="3"/>
      <c r="AD44" s="3"/>
      <c r="AE44" s="3"/>
      <c r="AF44" s="3"/>
      <c r="AG44" s="3"/>
      <c r="AH44" s="3"/>
      <c r="AI44" s="3"/>
      <c r="AJ44" s="3"/>
      <c r="AK44" s="3"/>
      <c r="AL44" s="3"/>
      <c r="AM44" s="3"/>
      <c r="AN44" s="3"/>
      <c r="AO44" s="3"/>
      <c r="AP44" s="3"/>
      <c r="AQ44" s="3"/>
      <c r="AR44" s="3"/>
    </row>
    <row r="45" spans="1:44" ht="15.75" customHeight="1">
      <c r="A45" s="3"/>
      <c r="B45" s="800"/>
      <c r="C45" s="20"/>
      <c r="D45" s="820" t="s">
        <v>416</v>
      </c>
      <c r="E45" s="719"/>
      <c r="F45" s="719"/>
      <c r="G45" s="720"/>
      <c r="H45" s="125">
        <v>0.88</v>
      </c>
      <c r="I45" s="116">
        <f t="shared" si="10"/>
        <v>48.24512</v>
      </c>
      <c r="J45" s="28"/>
      <c r="K45" s="28"/>
      <c r="L45" s="35"/>
      <c r="M45" s="20"/>
      <c r="N45" s="19"/>
      <c r="O45" s="19"/>
      <c r="P45" s="19"/>
      <c r="Q45" s="19"/>
      <c r="R45" s="19"/>
      <c r="S45" s="20"/>
      <c r="T45" s="805"/>
      <c r="U45" s="805"/>
      <c r="V45" s="805"/>
      <c r="W45" s="805"/>
      <c r="X45" s="805"/>
      <c r="Y45" s="3"/>
      <c r="Z45" s="3"/>
      <c r="AA45" s="3"/>
      <c r="AB45" s="3"/>
      <c r="AC45" s="3"/>
      <c r="AD45" s="3"/>
      <c r="AE45" s="3"/>
      <c r="AF45" s="3"/>
      <c r="AG45" s="3"/>
      <c r="AH45" s="3"/>
      <c r="AI45" s="3"/>
      <c r="AJ45" s="3"/>
      <c r="AK45" s="3"/>
      <c r="AL45" s="3"/>
      <c r="AM45" s="3"/>
      <c r="AN45" s="3"/>
      <c r="AO45" s="3"/>
      <c r="AP45" s="3"/>
      <c r="AQ45" s="3"/>
      <c r="AR45" s="3"/>
    </row>
    <row r="46" spans="1:44" ht="15.75" customHeight="1">
      <c r="A46" s="3"/>
      <c r="B46" s="800"/>
      <c r="C46" s="20"/>
      <c r="D46" s="820" t="s">
        <v>417</v>
      </c>
      <c r="E46" s="719"/>
      <c r="F46" s="719"/>
      <c r="G46" s="720"/>
      <c r="H46" s="125">
        <v>0.99</v>
      </c>
      <c r="I46" s="116">
        <f t="shared" si="10"/>
        <v>54.275759999999998</v>
      </c>
      <c r="J46" s="28"/>
      <c r="K46" s="28"/>
      <c r="L46" s="35"/>
      <c r="M46" s="20"/>
      <c r="N46" s="37" t="s">
        <v>1085</v>
      </c>
      <c r="O46" s="37"/>
      <c r="P46" s="66"/>
      <c r="Q46" s="66"/>
      <c r="R46" s="66"/>
      <c r="S46" s="20"/>
      <c r="T46" s="805"/>
      <c r="U46" s="805"/>
      <c r="V46" s="805"/>
      <c r="W46" s="805"/>
      <c r="X46" s="805"/>
      <c r="Y46" s="3"/>
      <c r="Z46" s="3"/>
      <c r="AA46" s="3"/>
      <c r="AB46" s="3"/>
      <c r="AC46" s="3"/>
      <c r="AD46" s="3"/>
      <c r="AE46" s="3"/>
      <c r="AF46" s="3"/>
      <c r="AG46" s="3"/>
      <c r="AH46" s="3"/>
      <c r="AI46" s="3"/>
      <c r="AJ46" s="3"/>
      <c r="AK46" s="3"/>
      <c r="AL46" s="3"/>
      <c r="AM46" s="3"/>
      <c r="AN46" s="3"/>
      <c r="AO46" s="3"/>
      <c r="AP46" s="3"/>
      <c r="AQ46" s="3"/>
      <c r="AR46" s="3"/>
    </row>
    <row r="47" spans="1:44" ht="15.75" customHeight="1">
      <c r="A47" s="3"/>
      <c r="B47" s="800"/>
      <c r="C47" s="20"/>
      <c r="D47" s="820" t="s">
        <v>418</v>
      </c>
      <c r="E47" s="719"/>
      <c r="F47" s="719"/>
      <c r="G47" s="720"/>
      <c r="H47" s="125">
        <v>1</v>
      </c>
      <c r="I47" s="116">
        <f t="shared" si="10"/>
        <v>54.823999999999998</v>
      </c>
      <c r="J47" s="28"/>
      <c r="K47" s="28"/>
      <c r="L47" s="35"/>
      <c r="M47" s="20"/>
      <c r="N47" s="71" t="s">
        <v>419</v>
      </c>
      <c r="O47" s="88">
        <v>0.9</v>
      </c>
      <c r="P47" s="19"/>
      <c r="Q47" s="66"/>
      <c r="R47" s="66"/>
      <c r="S47" s="20"/>
      <c r="T47" s="805"/>
      <c r="U47" s="805"/>
      <c r="V47" s="805"/>
      <c r="W47" s="805"/>
      <c r="X47" s="805"/>
      <c r="Y47" s="3"/>
      <c r="Z47" s="3"/>
      <c r="AA47" s="3"/>
      <c r="AB47" s="3"/>
      <c r="AC47" s="3"/>
      <c r="AD47" s="3"/>
      <c r="AE47" s="3"/>
      <c r="AF47" s="3"/>
      <c r="AG47" s="3"/>
      <c r="AH47" s="3"/>
      <c r="AI47" s="3"/>
      <c r="AJ47" s="3"/>
      <c r="AK47" s="3"/>
      <c r="AL47" s="3"/>
      <c r="AM47" s="3"/>
      <c r="AN47" s="3"/>
      <c r="AO47" s="3"/>
      <c r="AP47" s="3"/>
      <c r="AQ47" s="3"/>
      <c r="AR47" s="3"/>
    </row>
    <row r="48" spans="1:44" ht="15.75" customHeight="1">
      <c r="A48" s="3"/>
      <c r="B48" s="800"/>
      <c r="C48" s="20"/>
      <c r="D48" s="820" t="s">
        <v>420</v>
      </c>
      <c r="E48" s="719"/>
      <c r="F48" s="719"/>
      <c r="G48" s="720"/>
      <c r="H48" s="125">
        <v>1</v>
      </c>
      <c r="I48" s="116">
        <f t="shared" si="10"/>
        <v>54.823999999999998</v>
      </c>
      <c r="J48" s="28"/>
      <c r="K48" s="28"/>
      <c r="L48" s="35"/>
      <c r="M48" s="20"/>
      <c r="N48" s="71" t="s">
        <v>421</v>
      </c>
      <c r="O48" s="88">
        <v>0.75</v>
      </c>
      <c r="P48" s="19"/>
      <c r="Q48" s="66"/>
      <c r="R48" s="66"/>
      <c r="S48" s="20"/>
      <c r="T48" s="599"/>
      <c r="U48" s="599"/>
      <c r="V48" s="599"/>
      <c r="W48" s="599"/>
      <c r="X48" s="599"/>
      <c r="Y48" s="3"/>
      <c r="Z48" s="3"/>
      <c r="AA48" s="3"/>
      <c r="AB48" s="3"/>
      <c r="AC48" s="3"/>
      <c r="AD48" s="3"/>
      <c r="AE48" s="3"/>
      <c r="AF48" s="3"/>
      <c r="AG48" s="3"/>
      <c r="AH48" s="3"/>
      <c r="AI48" s="3"/>
      <c r="AJ48" s="3"/>
      <c r="AK48" s="3"/>
      <c r="AL48" s="3"/>
      <c r="AM48" s="3"/>
      <c r="AN48" s="3"/>
      <c r="AO48" s="3"/>
      <c r="AP48" s="3"/>
      <c r="AQ48" s="3"/>
      <c r="AR48" s="3"/>
    </row>
    <row r="49" spans="1:44" ht="15.75" customHeight="1">
      <c r="A49" s="3"/>
      <c r="B49" s="800"/>
      <c r="C49" s="20"/>
      <c r="D49" s="820" t="s">
        <v>422</v>
      </c>
      <c r="E49" s="719"/>
      <c r="F49" s="719"/>
      <c r="G49" s="720"/>
      <c r="H49" s="125">
        <v>0.77</v>
      </c>
      <c r="I49" s="116">
        <f t="shared" si="10"/>
        <v>42.214480000000002</v>
      </c>
      <c r="J49" s="28"/>
      <c r="K49" s="28"/>
      <c r="L49" s="35"/>
      <c r="M49" s="20"/>
      <c r="N49" s="71" t="s">
        <v>423</v>
      </c>
      <c r="O49" s="88">
        <v>0.6</v>
      </c>
      <c r="P49" s="19"/>
      <c r="Q49" s="66"/>
      <c r="R49" s="66"/>
      <c r="S49" s="20"/>
      <c r="T49" s="599"/>
      <c r="U49" s="599"/>
      <c r="V49" s="599"/>
      <c r="W49" s="599"/>
      <c r="X49" s="599"/>
      <c r="Y49" s="3"/>
      <c r="Z49" s="3"/>
      <c r="AA49" s="3"/>
      <c r="AB49" s="3"/>
      <c r="AC49" s="3"/>
      <c r="AD49" s="3"/>
      <c r="AE49" s="3"/>
      <c r="AF49" s="3"/>
      <c r="AG49" s="3"/>
      <c r="AH49" s="3"/>
      <c r="AI49" s="3"/>
      <c r="AJ49" s="3"/>
      <c r="AK49" s="3"/>
      <c r="AL49" s="3"/>
      <c r="AM49" s="3"/>
      <c r="AN49" s="3"/>
      <c r="AO49" s="3"/>
      <c r="AP49" s="3"/>
      <c r="AQ49" s="3"/>
      <c r="AR49" s="3"/>
    </row>
    <row r="50" spans="1:44" ht="15.75" customHeight="1">
      <c r="A50" s="3"/>
      <c r="B50" s="800"/>
      <c r="C50" s="20"/>
      <c r="D50" s="820" t="s">
        <v>424</v>
      </c>
      <c r="E50" s="719"/>
      <c r="F50" s="719"/>
      <c r="G50" s="720"/>
      <c r="H50" s="125">
        <v>0.6</v>
      </c>
      <c r="I50" s="116">
        <f t="shared" si="10"/>
        <v>32.894399999999997</v>
      </c>
      <c r="J50" s="28"/>
      <c r="K50" s="28"/>
      <c r="L50" s="35"/>
      <c r="M50" s="20"/>
      <c r="N50" s="66"/>
      <c r="O50" s="88"/>
      <c r="P50" s="19"/>
      <c r="Q50" s="66"/>
      <c r="R50" s="66"/>
      <c r="S50" s="20"/>
      <c r="T50" s="66"/>
      <c r="U50" s="66"/>
      <c r="V50" s="66"/>
      <c r="W50" s="66"/>
      <c r="X50" s="66"/>
      <c r="Y50" s="3"/>
      <c r="Z50" s="3"/>
      <c r="AA50" s="3"/>
      <c r="AB50" s="3"/>
      <c r="AC50" s="3"/>
      <c r="AD50" s="3"/>
      <c r="AE50" s="3"/>
      <c r="AF50" s="3"/>
      <c r="AG50" s="3"/>
      <c r="AH50" s="3"/>
      <c r="AI50" s="3"/>
      <c r="AJ50" s="3"/>
      <c r="AK50" s="3"/>
      <c r="AL50" s="3"/>
      <c r="AM50" s="3"/>
      <c r="AN50" s="3"/>
      <c r="AO50" s="3"/>
      <c r="AP50" s="3"/>
      <c r="AQ50" s="3"/>
      <c r="AR50" s="3"/>
    </row>
    <row r="51" spans="1:44" ht="15.75" customHeight="1">
      <c r="A51" s="3"/>
      <c r="B51" s="800"/>
      <c r="C51" s="20"/>
      <c r="D51" s="820" t="s">
        <v>425</v>
      </c>
      <c r="E51" s="719"/>
      <c r="F51" s="719"/>
      <c r="G51" s="720"/>
      <c r="H51" s="125">
        <v>0.38</v>
      </c>
      <c r="I51" s="116">
        <f t="shared" si="10"/>
        <v>20.833120000000001</v>
      </c>
      <c r="J51" s="28"/>
      <c r="K51" s="28"/>
      <c r="L51" s="35"/>
      <c r="M51" s="20"/>
      <c r="N51" s="66"/>
      <c r="O51" s="66"/>
      <c r="P51" s="66"/>
      <c r="Q51" s="66"/>
      <c r="R51" s="66"/>
      <c r="S51" s="20"/>
      <c r="T51" s="66"/>
      <c r="U51" s="66"/>
      <c r="V51" s="66"/>
      <c r="W51" s="66"/>
      <c r="X51" s="66"/>
      <c r="Y51" s="3"/>
      <c r="Z51" s="3"/>
      <c r="AA51" s="3"/>
      <c r="AB51" s="3"/>
      <c r="AC51" s="3"/>
      <c r="AD51" s="3"/>
      <c r="AE51" s="3"/>
      <c r="AF51" s="3"/>
      <c r="AG51" s="3"/>
      <c r="AH51" s="3"/>
      <c r="AI51" s="3"/>
      <c r="AJ51" s="3"/>
      <c r="AK51" s="3"/>
      <c r="AL51" s="3"/>
      <c r="AM51" s="3"/>
      <c r="AN51" s="3"/>
      <c r="AO51" s="3"/>
      <c r="AP51" s="3"/>
      <c r="AQ51" s="3"/>
      <c r="AR51" s="3"/>
    </row>
    <row r="52" spans="1:44" ht="15.75" customHeight="1" thickBot="1">
      <c r="A52" s="3"/>
      <c r="B52" s="800"/>
      <c r="C52" s="20"/>
      <c r="D52" s="838" t="s">
        <v>426</v>
      </c>
      <c r="E52" s="839"/>
      <c r="F52" s="839"/>
      <c r="G52" s="840"/>
      <c r="H52" s="126">
        <v>0.3</v>
      </c>
      <c r="I52" s="116">
        <f t="shared" si="10"/>
        <v>16.447199999999999</v>
      </c>
      <c r="J52" s="28"/>
      <c r="K52" s="28"/>
      <c r="L52" s="35"/>
      <c r="M52" s="20"/>
      <c r="N52" s="66"/>
      <c r="O52" s="66"/>
      <c r="P52" s="66"/>
      <c r="Q52" s="66"/>
      <c r="R52" s="66"/>
      <c r="S52" s="20"/>
      <c r="T52" s="66"/>
      <c r="U52" s="66"/>
      <c r="V52" s="66"/>
      <c r="W52" s="66"/>
      <c r="X52" s="66"/>
      <c r="Y52" s="3"/>
      <c r="Z52" s="3"/>
      <c r="AA52" s="3"/>
      <c r="AB52" s="3"/>
      <c r="AC52" s="3"/>
      <c r="AD52" s="3"/>
      <c r="AE52" s="3"/>
      <c r="AF52" s="3"/>
      <c r="AG52" s="3"/>
      <c r="AH52" s="3"/>
      <c r="AI52" s="3"/>
      <c r="AJ52" s="3"/>
      <c r="AK52" s="3"/>
      <c r="AL52" s="3"/>
      <c r="AM52" s="3"/>
      <c r="AN52" s="3"/>
      <c r="AO52" s="3"/>
      <c r="AP52" s="3"/>
      <c r="AQ52" s="3"/>
      <c r="AR52" s="3"/>
    </row>
    <row r="53" spans="1:44" ht="20.25" customHeight="1" thickBot="1">
      <c r="A53" s="3"/>
      <c r="B53" s="801"/>
      <c r="C53" s="20"/>
      <c r="D53" s="817" t="s">
        <v>427</v>
      </c>
      <c r="E53" s="716"/>
      <c r="F53" s="716"/>
      <c r="G53" s="716"/>
      <c r="H53" s="717"/>
      <c r="I53" s="127">
        <f>SUM(I41:I52)</f>
        <v>437.49552000000006</v>
      </c>
      <c r="J53" s="64"/>
      <c r="K53" s="64"/>
      <c r="L53" s="65"/>
      <c r="M53" s="20"/>
      <c r="N53" s="66"/>
      <c r="O53" s="66"/>
      <c r="P53" s="66"/>
      <c r="Q53" s="66"/>
      <c r="R53" s="66"/>
      <c r="S53" s="20"/>
      <c r="T53" s="66"/>
      <c r="U53" s="66"/>
      <c r="V53" s="66"/>
      <c r="W53" s="66"/>
      <c r="X53" s="66"/>
      <c r="Y53" s="3"/>
      <c r="Z53" s="3"/>
      <c r="AA53" s="3"/>
      <c r="AB53" s="3"/>
      <c r="AC53" s="3"/>
      <c r="AD53" s="3"/>
      <c r="AE53" s="3"/>
      <c r="AF53" s="3"/>
      <c r="AG53" s="3"/>
      <c r="AH53" s="3"/>
      <c r="AI53" s="3"/>
      <c r="AJ53" s="3"/>
      <c r="AK53" s="3"/>
      <c r="AL53" s="3"/>
      <c r="AM53" s="3"/>
      <c r="AN53" s="3"/>
      <c r="AO53" s="3"/>
      <c r="AP53" s="3"/>
      <c r="AQ53" s="3"/>
      <c r="AR53" s="3"/>
    </row>
    <row r="54" spans="1:44" ht="15.75" customHeight="1">
      <c r="A54" s="3"/>
      <c r="B54" s="20"/>
      <c r="C54" s="20"/>
      <c r="D54" s="128"/>
      <c r="E54" s="128"/>
      <c r="F54" s="128"/>
      <c r="G54" s="128"/>
      <c r="H54" s="128"/>
      <c r="I54" s="20"/>
      <c r="J54" s="20"/>
      <c r="K54" s="20"/>
      <c r="L54" s="20"/>
      <c r="M54" s="20"/>
      <c r="N54" s="20"/>
      <c r="O54" s="20"/>
      <c r="P54" s="20"/>
      <c r="Q54" s="20"/>
      <c r="R54" s="20"/>
      <c r="S54" s="20"/>
      <c r="T54" s="20"/>
      <c r="U54" s="20"/>
      <c r="V54" s="20"/>
      <c r="W54" s="20"/>
      <c r="X54" s="3"/>
      <c r="Y54" s="3"/>
      <c r="Z54" s="3"/>
      <c r="AA54" s="3"/>
      <c r="AB54" s="3"/>
      <c r="AC54" s="3"/>
      <c r="AD54" s="3"/>
      <c r="AE54" s="3"/>
      <c r="AF54" s="3"/>
      <c r="AG54" s="3"/>
      <c r="AH54" s="3"/>
      <c r="AI54" s="3"/>
      <c r="AJ54" s="3"/>
      <c r="AK54" s="3"/>
      <c r="AL54" s="3"/>
      <c r="AM54" s="3"/>
      <c r="AN54" s="3"/>
      <c r="AO54" s="3"/>
      <c r="AP54" s="3"/>
      <c r="AQ54" s="3"/>
      <c r="AR54" s="3"/>
    </row>
    <row r="55" spans="1:44" ht="15.75" customHeight="1" thickBot="1">
      <c r="A55" s="3"/>
      <c r="B55" s="20"/>
      <c r="C55" s="20"/>
      <c r="D55" s="130" t="s">
        <v>1031</v>
      </c>
      <c r="E55" s="62"/>
      <c r="F55" s="62"/>
      <c r="G55" s="130"/>
      <c r="H55" s="130"/>
      <c r="I55" s="130"/>
      <c r="J55" s="130"/>
      <c r="K55" s="20"/>
      <c r="L55" s="20"/>
      <c r="M55" s="20"/>
      <c r="N55" s="20"/>
      <c r="O55" s="20"/>
      <c r="P55" s="20"/>
      <c r="Q55" s="20"/>
      <c r="R55" s="20"/>
      <c r="S55" s="20"/>
      <c r="T55" s="20"/>
      <c r="U55" s="20"/>
      <c r="V55" s="20"/>
      <c r="W55" s="20"/>
      <c r="X55" s="3"/>
      <c r="Y55" s="3"/>
      <c r="Z55" s="3"/>
      <c r="AA55" s="3"/>
      <c r="AB55" s="3"/>
      <c r="AC55" s="3"/>
      <c r="AD55" s="3"/>
      <c r="AE55" s="3"/>
      <c r="AF55" s="3"/>
      <c r="AG55" s="3"/>
      <c r="AH55" s="3"/>
      <c r="AI55" s="3"/>
      <c r="AJ55" s="3"/>
      <c r="AK55" s="3"/>
      <c r="AL55" s="3"/>
      <c r="AM55" s="3"/>
      <c r="AN55" s="3"/>
      <c r="AO55" s="3"/>
      <c r="AP55" s="3"/>
      <c r="AQ55" s="3"/>
      <c r="AR55" s="3"/>
    </row>
    <row r="56" spans="1:44" ht="15.75" customHeight="1">
      <c r="A56" s="3"/>
      <c r="B56" s="806" t="s">
        <v>1090</v>
      </c>
      <c r="C56" s="20"/>
      <c r="D56" s="851" t="s">
        <v>1034</v>
      </c>
      <c r="E56" s="663"/>
      <c r="F56" s="663"/>
      <c r="G56" s="832"/>
      <c r="H56" s="460">
        <v>0</v>
      </c>
      <c r="I56" s="106"/>
      <c r="J56" s="106"/>
      <c r="K56" s="106"/>
      <c r="L56" s="107"/>
      <c r="M56" s="20"/>
      <c r="N56" s="807" t="s">
        <v>1091</v>
      </c>
      <c r="O56" s="808"/>
      <c r="P56" s="808"/>
      <c r="Q56" s="808"/>
      <c r="R56" s="809"/>
      <c r="S56" s="20"/>
      <c r="T56" s="22" t="str">
        <f>HYPERLINK("https://www.eia.gov/consumption/commercial/reports/2012/water/pdf/users%20guide%20to%202012%20water%20public%20use.pdf","Source: CBECS Table W1. Water consumption 2012")</f>
        <v>Source: CBECS Table W1. Water consumption 2012</v>
      </c>
      <c r="U56" s="19"/>
      <c r="V56" s="66"/>
      <c r="W56" s="66"/>
      <c r="X56" s="66"/>
      <c r="Y56" s="3"/>
      <c r="Z56" s="3"/>
      <c r="AA56" s="3"/>
      <c r="AB56" s="3"/>
      <c r="AC56" s="3"/>
      <c r="AD56" s="3"/>
      <c r="AE56" s="3"/>
      <c r="AF56" s="3"/>
      <c r="AG56" s="3"/>
      <c r="AH56" s="3"/>
      <c r="AI56" s="3"/>
      <c r="AJ56" s="3"/>
      <c r="AK56" s="3"/>
      <c r="AL56" s="3"/>
      <c r="AM56" s="3"/>
      <c r="AN56" s="3"/>
      <c r="AO56" s="3"/>
      <c r="AP56" s="3"/>
      <c r="AQ56" s="3"/>
      <c r="AR56" s="3"/>
    </row>
    <row r="57" spans="1:44" ht="15.75" customHeight="1">
      <c r="A57" s="3"/>
      <c r="B57" s="806"/>
      <c r="C57" s="20"/>
      <c r="D57" s="821" t="s">
        <v>1033</v>
      </c>
      <c r="E57" s="822"/>
      <c r="F57" s="822"/>
      <c r="G57" s="822"/>
      <c r="H57" s="135">
        <f>7*H56</f>
        <v>0</v>
      </c>
      <c r="I57" s="57" t="s">
        <v>437</v>
      </c>
      <c r="J57" s="57"/>
      <c r="K57" s="57"/>
      <c r="L57" s="109"/>
      <c r="M57" s="20"/>
      <c r="N57" s="810"/>
      <c r="O57" s="811"/>
      <c r="P57" s="811"/>
      <c r="Q57" s="811"/>
      <c r="R57" s="812"/>
      <c r="S57" s="20"/>
      <c r="T57" s="19"/>
      <c r="U57" s="19"/>
      <c r="V57" s="19"/>
      <c r="W57" s="19"/>
      <c r="X57" s="66"/>
      <c r="Y57" s="3"/>
      <c r="Z57" s="3"/>
      <c r="AA57" s="3"/>
      <c r="AB57" s="3"/>
      <c r="AC57" s="3"/>
      <c r="AD57" s="3"/>
      <c r="AE57" s="3"/>
      <c r="AF57" s="3"/>
      <c r="AG57" s="3"/>
      <c r="AH57" s="3"/>
      <c r="AI57" s="3"/>
      <c r="AJ57" s="3"/>
      <c r="AK57" s="3"/>
      <c r="AL57" s="3"/>
      <c r="AM57" s="3"/>
      <c r="AN57" s="3"/>
      <c r="AO57" s="3"/>
      <c r="AP57" s="3"/>
      <c r="AQ57" s="3"/>
      <c r="AR57" s="3"/>
    </row>
    <row r="58" spans="1:44" ht="15.75" customHeight="1">
      <c r="A58" s="3"/>
      <c r="B58" s="806"/>
      <c r="C58" s="20"/>
      <c r="D58" s="825"/>
      <c r="E58" s="824"/>
      <c r="F58" s="824"/>
      <c r="G58" s="824"/>
      <c r="H58" s="136">
        <f>H57*Introduction!F12</f>
        <v>0</v>
      </c>
      <c r="I58" s="57" t="s">
        <v>438</v>
      </c>
      <c r="J58" s="57"/>
      <c r="K58" s="137"/>
      <c r="L58" s="109"/>
      <c r="M58" s="20"/>
      <c r="N58" s="19"/>
      <c r="O58" s="19"/>
      <c r="P58" s="66"/>
      <c r="Q58" s="66"/>
      <c r="R58" s="66"/>
      <c r="S58" s="20"/>
      <c r="T58" s="19"/>
      <c r="U58" s="19"/>
      <c r="V58" s="19"/>
      <c r="W58" s="19"/>
      <c r="X58" s="66"/>
      <c r="Y58" s="3"/>
      <c r="Z58" s="3"/>
      <c r="AA58" s="3"/>
      <c r="AB58" s="3"/>
      <c r="AC58" s="3"/>
      <c r="AD58" s="3"/>
      <c r="AE58" s="3"/>
      <c r="AF58" s="3"/>
      <c r="AG58" s="3"/>
      <c r="AH58" s="3"/>
      <c r="AI58" s="3"/>
      <c r="AJ58" s="3"/>
      <c r="AK58" s="3"/>
      <c r="AL58" s="3"/>
      <c r="AM58" s="3"/>
      <c r="AN58" s="3"/>
      <c r="AO58" s="3"/>
      <c r="AP58" s="3"/>
      <c r="AQ58" s="3"/>
      <c r="AR58" s="3"/>
    </row>
    <row r="59" spans="1:44" ht="15.75" customHeight="1">
      <c r="A59" s="3"/>
      <c r="B59" s="806"/>
      <c r="C59" s="20"/>
      <c r="D59" s="825"/>
      <c r="E59" s="824"/>
      <c r="F59" s="824"/>
      <c r="G59" s="824"/>
      <c r="H59" s="57"/>
      <c r="I59" s="138"/>
      <c r="J59" s="57"/>
      <c r="K59" s="137"/>
      <c r="L59" s="109"/>
      <c r="M59" s="20"/>
      <c r="N59" s="835" t="s">
        <v>1092</v>
      </c>
      <c r="O59" s="835"/>
      <c r="P59" s="835"/>
      <c r="Q59" s="835"/>
      <c r="R59" s="835"/>
      <c r="S59" s="20"/>
      <c r="T59" s="19"/>
      <c r="U59" s="19"/>
      <c r="V59" s="19"/>
      <c r="W59" s="19"/>
      <c r="X59" s="66"/>
      <c r="Y59" s="3"/>
      <c r="Z59" s="3"/>
      <c r="AA59" s="3"/>
      <c r="AB59" s="3"/>
      <c r="AC59" s="3"/>
      <c r="AD59" s="3"/>
      <c r="AE59" s="3"/>
      <c r="AF59" s="3"/>
      <c r="AG59" s="3"/>
      <c r="AH59" s="3"/>
      <c r="AI59" s="3"/>
      <c r="AJ59" s="3"/>
      <c r="AK59" s="3"/>
      <c r="AL59" s="3"/>
      <c r="AM59" s="3"/>
      <c r="AN59" s="3"/>
      <c r="AO59" s="3"/>
      <c r="AP59" s="3"/>
      <c r="AQ59" s="3"/>
      <c r="AR59" s="3"/>
    </row>
    <row r="60" spans="1:44" ht="15.75" customHeight="1">
      <c r="A60" s="3"/>
      <c r="B60" s="806"/>
      <c r="C60" s="549"/>
      <c r="D60" s="823" t="s">
        <v>1032</v>
      </c>
      <c r="E60" s="824"/>
      <c r="F60" s="824"/>
      <c r="G60" s="824"/>
      <c r="H60" s="598" t="s">
        <v>928</v>
      </c>
      <c r="I60" s="547">
        <f>_xlfn.IFS(H60="No",0,H60="Yes",1,H60="n/a",1)</f>
        <v>1</v>
      </c>
      <c r="J60" s="813" t="s">
        <v>1037</v>
      </c>
      <c r="K60" s="813"/>
      <c r="L60" s="814"/>
      <c r="M60" s="20"/>
      <c r="N60" s="835"/>
      <c r="O60" s="835"/>
      <c r="P60" s="835"/>
      <c r="Q60" s="835"/>
      <c r="R60" s="835"/>
      <c r="S60" s="20"/>
      <c r="T60" s="19"/>
      <c r="U60" s="19"/>
      <c r="V60" s="19"/>
      <c r="W60" s="19"/>
      <c r="X60" s="66"/>
      <c r="Y60" s="3"/>
      <c r="Z60" s="3"/>
      <c r="AA60" s="3"/>
      <c r="AB60" s="3"/>
      <c r="AC60" s="3"/>
      <c r="AD60" s="3"/>
      <c r="AE60" s="3"/>
      <c r="AF60" s="3"/>
      <c r="AG60" s="3"/>
      <c r="AH60" s="3"/>
      <c r="AI60" s="3"/>
      <c r="AJ60" s="3"/>
      <c r="AK60" s="3"/>
      <c r="AL60" s="3"/>
      <c r="AM60" s="3"/>
      <c r="AN60" s="3"/>
      <c r="AO60" s="3"/>
      <c r="AP60" s="3"/>
      <c r="AQ60" s="3"/>
      <c r="AR60" s="3"/>
    </row>
    <row r="61" spans="1:44" ht="15.75" customHeight="1">
      <c r="A61" s="3"/>
      <c r="B61" s="806"/>
      <c r="C61" s="549"/>
      <c r="D61" s="823" t="s">
        <v>1035</v>
      </c>
      <c r="E61" s="824"/>
      <c r="F61" s="824"/>
      <c r="G61" s="824"/>
      <c r="H61" s="598" t="s">
        <v>928</v>
      </c>
      <c r="I61" s="547">
        <f>_xlfn.IFS(H61="No",1,H61="Yes",0.75,H61="n/a",1)</f>
        <v>1</v>
      </c>
      <c r="J61" s="813"/>
      <c r="K61" s="813"/>
      <c r="L61" s="814"/>
      <c r="M61" s="20"/>
      <c r="N61" s="835"/>
      <c r="O61" s="835"/>
      <c r="P61" s="835"/>
      <c r="Q61" s="835"/>
      <c r="R61" s="835"/>
      <c r="S61" s="20"/>
      <c r="T61" s="19"/>
      <c r="U61" s="19"/>
      <c r="V61" s="19"/>
      <c r="W61" s="19"/>
      <c r="X61" s="66"/>
      <c r="Y61" s="3"/>
      <c r="Z61" s="3"/>
      <c r="AA61" s="3"/>
      <c r="AB61" s="3"/>
      <c r="AC61" s="3"/>
      <c r="AD61" s="3"/>
      <c r="AE61" s="3"/>
      <c r="AF61" s="3"/>
      <c r="AG61" s="3"/>
      <c r="AH61" s="3"/>
      <c r="AI61" s="3"/>
      <c r="AJ61" s="3"/>
      <c r="AK61" s="3"/>
      <c r="AL61" s="3"/>
      <c r="AM61" s="3"/>
      <c r="AN61" s="3"/>
      <c r="AO61" s="3"/>
      <c r="AP61" s="3"/>
      <c r="AQ61" s="3"/>
      <c r="AR61" s="3"/>
    </row>
    <row r="62" spans="1:44" ht="15.75" customHeight="1">
      <c r="A62" s="3"/>
      <c r="B62" s="806"/>
      <c r="C62" s="549"/>
      <c r="D62" s="826" t="s">
        <v>1036</v>
      </c>
      <c r="E62" s="827"/>
      <c r="F62" s="827"/>
      <c r="G62" s="827"/>
      <c r="H62" s="548">
        <f>H58*I61*I60</f>
        <v>0</v>
      </c>
      <c r="I62" s="548" t="s">
        <v>439</v>
      </c>
      <c r="J62" s="813"/>
      <c r="K62" s="813"/>
      <c r="L62" s="814"/>
      <c r="M62" s="20"/>
      <c r="N62" s="835"/>
      <c r="O62" s="835"/>
      <c r="P62" s="835"/>
      <c r="Q62" s="835"/>
      <c r="R62" s="835"/>
      <c r="S62" s="20"/>
      <c r="T62" s="19"/>
      <c r="U62" s="19"/>
      <c r="V62" s="19"/>
      <c r="W62" s="19"/>
      <c r="X62" s="66"/>
      <c r="Y62" s="3"/>
      <c r="Z62" s="3"/>
      <c r="AA62" s="3"/>
      <c r="AB62" s="3"/>
      <c r="AC62" s="3"/>
      <c r="AD62" s="3"/>
      <c r="AE62" s="3"/>
      <c r="AF62" s="3"/>
      <c r="AG62" s="3"/>
      <c r="AH62" s="3"/>
      <c r="AI62" s="3"/>
      <c r="AJ62" s="3"/>
      <c r="AK62" s="3"/>
      <c r="AL62" s="3"/>
      <c r="AM62" s="3"/>
      <c r="AN62" s="3"/>
      <c r="AO62" s="3"/>
      <c r="AP62" s="3"/>
      <c r="AQ62" s="3"/>
      <c r="AR62" s="3"/>
    </row>
    <row r="63" spans="1:44" ht="15.75" customHeight="1">
      <c r="A63" s="3"/>
      <c r="B63" s="806"/>
      <c r="C63" s="549"/>
      <c r="D63" s="544"/>
      <c r="E63" s="544"/>
      <c r="F63" s="544"/>
      <c r="G63" s="544"/>
      <c r="H63" s="544"/>
      <c r="I63" s="544"/>
      <c r="J63" s="813"/>
      <c r="K63" s="813"/>
      <c r="L63" s="814"/>
      <c r="M63" s="20"/>
      <c r="N63" s="66"/>
      <c r="O63" s="66"/>
      <c r="P63" s="66"/>
      <c r="Q63" s="66"/>
      <c r="R63" s="66"/>
      <c r="S63" s="20"/>
      <c r="T63" s="19"/>
      <c r="U63" s="19"/>
      <c r="V63" s="19"/>
      <c r="W63" s="19"/>
      <c r="X63" s="66"/>
      <c r="Y63" s="3"/>
      <c r="Z63" s="3"/>
      <c r="AA63" s="3"/>
      <c r="AB63" s="3"/>
      <c r="AC63" s="3"/>
      <c r="AD63" s="3"/>
      <c r="AE63" s="3"/>
      <c r="AF63" s="3"/>
      <c r="AG63" s="3"/>
      <c r="AH63" s="3"/>
      <c r="AI63" s="3"/>
      <c r="AJ63" s="3"/>
      <c r="AK63" s="3"/>
      <c r="AL63" s="3"/>
      <c r="AM63" s="3"/>
      <c r="AN63" s="3"/>
      <c r="AO63" s="3"/>
      <c r="AP63" s="3"/>
      <c r="AQ63" s="3"/>
      <c r="AR63" s="3"/>
    </row>
    <row r="64" spans="1:44" s="539" customFormat="1" ht="26.25" customHeight="1" thickBot="1">
      <c r="A64" s="307"/>
      <c r="B64" s="806"/>
      <c r="C64" s="308"/>
      <c r="D64" s="545"/>
      <c r="E64" s="546"/>
      <c r="F64" s="546"/>
      <c r="G64" s="546"/>
      <c r="H64" s="546"/>
      <c r="I64" s="546"/>
      <c r="J64" s="546"/>
      <c r="K64" s="546"/>
      <c r="L64" s="550"/>
      <c r="M64" s="308"/>
      <c r="N64" s="455"/>
      <c r="O64" s="455"/>
      <c r="P64" s="455"/>
      <c r="Q64" s="455"/>
      <c r="R64" s="455"/>
      <c r="S64" s="308"/>
      <c r="T64" s="311"/>
      <c r="U64" s="311"/>
      <c r="V64" s="311"/>
      <c r="W64" s="311"/>
      <c r="X64" s="455"/>
      <c r="Y64" s="307"/>
      <c r="Z64" s="307"/>
      <c r="AA64" s="307"/>
      <c r="AB64" s="307"/>
      <c r="AC64" s="307"/>
      <c r="AD64" s="307"/>
      <c r="AE64" s="307"/>
      <c r="AF64" s="307"/>
      <c r="AG64" s="307"/>
      <c r="AH64" s="307"/>
      <c r="AI64" s="307"/>
      <c r="AJ64" s="307"/>
      <c r="AK64" s="307"/>
      <c r="AL64" s="307"/>
      <c r="AM64" s="307"/>
      <c r="AN64" s="307"/>
      <c r="AO64" s="307"/>
      <c r="AP64" s="307"/>
      <c r="AQ64" s="307"/>
      <c r="AR64" s="307"/>
    </row>
    <row r="65" spans="1:44" ht="15.75" customHeight="1">
      <c r="A65" s="3"/>
      <c r="B65" s="20"/>
      <c r="C65" s="20"/>
      <c r="D65" s="20"/>
      <c r="E65" s="20"/>
      <c r="F65" s="20"/>
      <c r="G65" s="20"/>
      <c r="H65" s="20"/>
      <c r="I65" s="20"/>
      <c r="J65" s="20"/>
      <c r="K65" s="20"/>
      <c r="L65" s="20"/>
      <c r="M65" s="20"/>
      <c r="N65" s="20"/>
      <c r="O65" s="20"/>
      <c r="P65" s="20"/>
      <c r="Q65" s="20"/>
      <c r="R65" s="20"/>
      <c r="S65" s="20"/>
      <c r="T65" s="20"/>
      <c r="U65" s="20"/>
      <c r="V65" s="20"/>
      <c r="W65" s="20"/>
      <c r="X65" s="3"/>
      <c r="Y65" s="3"/>
      <c r="Z65" s="3"/>
      <c r="AA65" s="3"/>
      <c r="AB65" s="3"/>
      <c r="AC65" s="3"/>
      <c r="AD65" s="3"/>
      <c r="AE65" s="3"/>
      <c r="AF65" s="3"/>
      <c r="AG65" s="3"/>
      <c r="AH65" s="3"/>
      <c r="AI65" s="3"/>
      <c r="AJ65" s="3"/>
      <c r="AK65" s="3"/>
      <c r="AL65" s="3"/>
      <c r="AM65" s="3"/>
      <c r="AN65" s="3"/>
      <c r="AO65" s="3"/>
      <c r="AP65" s="3"/>
      <c r="AQ65" s="3"/>
      <c r="AR65" s="3"/>
    </row>
    <row r="66" spans="1:44" ht="15.75" customHeight="1">
      <c r="A66" s="3"/>
      <c r="B66" s="799" t="s">
        <v>1097</v>
      </c>
      <c r="C66" s="20"/>
      <c r="D66" s="834" t="s">
        <v>1038</v>
      </c>
      <c r="E66" s="719"/>
      <c r="F66" s="719"/>
      <c r="G66" s="719"/>
      <c r="H66" s="719"/>
      <c r="I66" s="719"/>
      <c r="J66" s="719"/>
      <c r="K66" s="719"/>
      <c r="L66" s="720"/>
      <c r="M66" s="20"/>
      <c r="N66" s="19"/>
      <c r="O66" s="19"/>
      <c r="P66" s="19"/>
      <c r="Q66" s="19"/>
      <c r="R66" s="19"/>
      <c r="S66" s="20"/>
      <c r="T66" s="20"/>
      <c r="U66" s="20"/>
      <c r="V66" s="20"/>
      <c r="W66" s="20"/>
      <c r="X66" s="3"/>
      <c r="Y66" s="3"/>
      <c r="Z66" s="3"/>
      <c r="AA66" s="3"/>
      <c r="AB66" s="3"/>
      <c r="AC66" s="3"/>
      <c r="AD66" s="3"/>
      <c r="AE66" s="3"/>
      <c r="AF66" s="3"/>
      <c r="AG66" s="3"/>
      <c r="AH66" s="3"/>
      <c r="AI66" s="3"/>
      <c r="AJ66" s="3"/>
      <c r="AK66" s="3"/>
      <c r="AL66" s="3"/>
      <c r="AM66" s="3"/>
      <c r="AN66" s="3"/>
      <c r="AO66" s="3"/>
      <c r="AP66" s="3"/>
      <c r="AQ66" s="3"/>
      <c r="AR66" s="3"/>
    </row>
    <row r="67" spans="1:44" ht="13.5" customHeight="1">
      <c r="A67" s="3"/>
      <c r="B67" s="800"/>
      <c r="C67" s="20"/>
      <c r="D67" s="50"/>
      <c r="E67" s="50"/>
      <c r="F67" s="50"/>
      <c r="G67" s="50"/>
      <c r="H67" s="50"/>
      <c r="I67" s="50"/>
      <c r="J67" s="50"/>
      <c r="K67" s="50"/>
      <c r="L67" s="50"/>
      <c r="M67" s="20"/>
      <c r="N67" s="140"/>
      <c r="O67" s="19"/>
      <c r="P67" s="19"/>
      <c r="Q67" s="19"/>
      <c r="R67" s="19"/>
      <c r="S67" s="20"/>
      <c r="T67" s="20"/>
      <c r="U67" s="20"/>
      <c r="V67" s="20"/>
      <c r="W67" s="20"/>
      <c r="X67" s="3"/>
      <c r="Y67" s="3"/>
      <c r="Z67" s="3"/>
      <c r="AA67" s="3"/>
      <c r="AB67" s="3"/>
      <c r="AC67" s="3"/>
      <c r="AD67" s="3"/>
      <c r="AE67" s="3"/>
      <c r="AF67" s="3"/>
      <c r="AG67" s="3"/>
      <c r="AH67" s="3"/>
      <c r="AI67" s="3"/>
      <c r="AJ67" s="3"/>
      <c r="AK67" s="3"/>
      <c r="AL67" s="3"/>
      <c r="AM67" s="3"/>
      <c r="AN67" s="3"/>
      <c r="AO67" s="3"/>
      <c r="AP67" s="3"/>
      <c r="AQ67" s="3"/>
      <c r="AR67" s="3"/>
    </row>
    <row r="68" spans="1:44" ht="13.5" customHeight="1">
      <c r="A68" s="3"/>
      <c r="B68" s="800"/>
      <c r="C68" s="20"/>
      <c r="D68" s="50"/>
      <c r="E68" s="28"/>
      <c r="F68" s="828" t="s">
        <v>448</v>
      </c>
      <c r="G68" s="829"/>
      <c r="H68" s="829"/>
      <c r="I68" s="830"/>
      <c r="J68" s="828" t="s">
        <v>442</v>
      </c>
      <c r="K68" s="829"/>
      <c r="L68" s="833"/>
      <c r="M68" s="20"/>
      <c r="N68" s="140" t="s">
        <v>443</v>
      </c>
      <c r="O68" s="19"/>
      <c r="P68" s="19"/>
      <c r="Q68" s="19"/>
      <c r="R68" s="19"/>
      <c r="S68" s="20"/>
      <c r="T68" s="20"/>
      <c r="U68" s="20"/>
      <c r="V68" s="20"/>
      <c r="W68" s="20"/>
      <c r="X68" s="3"/>
      <c r="Y68" s="3"/>
      <c r="Z68" s="3"/>
      <c r="AA68" s="3"/>
      <c r="AB68" s="3"/>
      <c r="AC68" s="3"/>
      <c r="AD68" s="3"/>
      <c r="AE68" s="3"/>
      <c r="AF68" s="3"/>
      <c r="AG68" s="3"/>
      <c r="AH68" s="3"/>
      <c r="AI68" s="3"/>
      <c r="AJ68" s="3"/>
      <c r="AK68" s="3"/>
      <c r="AL68" s="3"/>
      <c r="AM68" s="3"/>
      <c r="AN68" s="3"/>
      <c r="AO68" s="3"/>
      <c r="AP68" s="3"/>
      <c r="AQ68" s="3"/>
      <c r="AR68" s="3"/>
    </row>
    <row r="69" spans="1:44" ht="38.25" customHeight="1">
      <c r="A69" s="3"/>
      <c r="B69" s="800"/>
      <c r="C69" s="20"/>
      <c r="D69" s="50"/>
      <c r="E69" s="142" t="s">
        <v>404</v>
      </c>
      <c r="F69" s="143" t="s">
        <v>1096</v>
      </c>
      <c r="G69" s="144" t="s">
        <v>1051</v>
      </c>
      <c r="H69" s="144" t="s">
        <v>1052</v>
      </c>
      <c r="I69" s="145" t="s">
        <v>1093</v>
      </c>
      <c r="J69" s="143" t="s">
        <v>1094</v>
      </c>
      <c r="K69" s="144" t="s">
        <v>1052</v>
      </c>
      <c r="L69" s="145" t="s">
        <v>1095</v>
      </c>
      <c r="M69" s="20"/>
      <c r="N69" s="19"/>
      <c r="O69" s="19"/>
      <c r="P69" s="19"/>
      <c r="Q69" s="19"/>
      <c r="R69" s="19"/>
      <c r="S69" s="20"/>
      <c r="T69" s="626"/>
      <c r="U69" s="626"/>
      <c r="V69" s="626"/>
      <c r="W69" s="626"/>
      <c r="X69" s="626"/>
      <c r="Y69" s="3"/>
      <c r="Z69" s="3"/>
      <c r="AA69" s="3"/>
      <c r="AB69" s="3"/>
      <c r="AC69" s="3"/>
      <c r="AD69" s="3"/>
      <c r="AE69" s="3"/>
      <c r="AF69" s="3"/>
      <c r="AG69" s="3"/>
      <c r="AH69" s="3"/>
      <c r="AI69" s="3"/>
      <c r="AJ69" s="3"/>
      <c r="AK69" s="3"/>
      <c r="AL69" s="3"/>
      <c r="AM69" s="3"/>
      <c r="AN69" s="3"/>
      <c r="AO69" s="3"/>
      <c r="AP69" s="3"/>
      <c r="AQ69" s="3"/>
      <c r="AR69" s="3"/>
    </row>
    <row r="70" spans="1:44" ht="15.75" customHeight="1">
      <c r="A70" s="3"/>
      <c r="B70" s="800"/>
      <c r="C70" s="20"/>
      <c r="D70" s="50"/>
      <c r="E70" s="27" t="s">
        <v>408</v>
      </c>
      <c r="F70" s="596">
        <f>I41+(($K$23+$H$62)/12)</f>
        <v>8815.0162733333345</v>
      </c>
      <c r="G70" s="597">
        <f>F70-(H70+I70)</f>
        <v>7815.0162733333345</v>
      </c>
      <c r="H70" s="343">
        <v>1000</v>
      </c>
      <c r="I70" s="343">
        <v>0</v>
      </c>
      <c r="J70" s="343">
        <v>10575</v>
      </c>
      <c r="K70" s="343">
        <v>1000</v>
      </c>
      <c r="L70" s="343">
        <v>0</v>
      </c>
      <c r="M70" s="20"/>
      <c r="N70" s="19"/>
      <c r="O70" s="19"/>
      <c r="P70" s="19"/>
      <c r="Q70" s="19"/>
      <c r="R70" s="19"/>
      <c r="S70" s="20"/>
      <c r="T70" s="626"/>
      <c r="U70" s="626"/>
      <c r="V70" s="626"/>
      <c r="W70" s="626"/>
      <c r="X70" s="626"/>
      <c r="Y70" s="622"/>
      <c r="Z70" s="3"/>
      <c r="AA70" s="3"/>
      <c r="AB70" s="3"/>
      <c r="AC70" s="3"/>
      <c r="AD70" s="3"/>
      <c r="AE70" s="3"/>
      <c r="AF70" s="3"/>
      <c r="AG70" s="3"/>
      <c r="AH70" s="3"/>
      <c r="AI70" s="3"/>
      <c r="AJ70" s="3"/>
      <c r="AK70" s="3"/>
      <c r="AL70" s="3"/>
      <c r="AM70" s="3"/>
      <c r="AN70" s="3"/>
      <c r="AO70" s="3"/>
      <c r="AP70" s="3"/>
      <c r="AQ70" s="3"/>
      <c r="AR70" s="3"/>
    </row>
    <row r="71" spans="1:44" ht="15.75" customHeight="1">
      <c r="A71" s="3"/>
      <c r="B71" s="800"/>
      <c r="C71" s="20"/>
      <c r="D71" s="50"/>
      <c r="E71" s="27" t="s">
        <v>410</v>
      </c>
      <c r="F71" s="596">
        <f t="shared" ref="F71:F81" si="11">I42+(($K$23+$H$62)/12)</f>
        <v>8818.8539533333333</v>
      </c>
      <c r="G71" s="597">
        <f t="shared" ref="G71:G81" si="12">F71-(H71+I71)</f>
        <v>7818.8539533333333</v>
      </c>
      <c r="H71" s="343">
        <v>1000</v>
      </c>
      <c r="I71" s="343">
        <v>0</v>
      </c>
      <c r="J71" s="343">
        <v>10575</v>
      </c>
      <c r="K71" s="343">
        <v>500</v>
      </c>
      <c r="L71" s="343">
        <v>0</v>
      </c>
      <c r="M71" s="20"/>
      <c r="N71" s="19"/>
      <c r="O71" s="19"/>
      <c r="P71" s="19"/>
      <c r="Q71" s="19"/>
      <c r="R71" s="19"/>
      <c r="S71" s="20"/>
      <c r="T71" s="626"/>
      <c r="U71" s="626"/>
      <c r="V71" s="626"/>
      <c r="W71" s="626"/>
      <c r="X71" s="626"/>
      <c r="Y71" s="622"/>
      <c r="Z71" s="3"/>
      <c r="AA71" s="3"/>
      <c r="AB71" s="3"/>
      <c r="AC71" s="3"/>
      <c r="AD71" s="3"/>
      <c r="AE71" s="3"/>
      <c r="AF71" s="3"/>
      <c r="AG71" s="3"/>
      <c r="AH71" s="3"/>
      <c r="AI71" s="3"/>
      <c r="AJ71" s="3"/>
      <c r="AK71" s="3"/>
      <c r="AL71" s="3"/>
      <c r="AM71" s="3"/>
      <c r="AN71" s="3"/>
      <c r="AO71" s="3"/>
      <c r="AP71" s="3"/>
      <c r="AQ71" s="3"/>
      <c r="AR71" s="3"/>
    </row>
    <row r="72" spans="1:44" ht="15.75" customHeight="1">
      <c r="A72" s="3"/>
      <c r="B72" s="800"/>
      <c r="C72" s="20"/>
      <c r="D72" s="50"/>
      <c r="E72" s="27" t="s">
        <v>412</v>
      </c>
      <c r="F72" s="596">
        <f t="shared" si="11"/>
        <v>8830.9152333333332</v>
      </c>
      <c r="G72" s="597">
        <f t="shared" si="12"/>
        <v>7830.9152333333332</v>
      </c>
      <c r="H72" s="343">
        <v>1000</v>
      </c>
      <c r="I72" s="343">
        <v>0</v>
      </c>
      <c r="J72" s="343">
        <v>10575</v>
      </c>
      <c r="K72" s="343">
        <v>2000</v>
      </c>
      <c r="L72" s="343">
        <v>0</v>
      </c>
      <c r="M72" s="20"/>
      <c r="N72" s="19"/>
      <c r="O72" s="19"/>
      <c r="P72" s="19"/>
      <c r="Q72" s="19"/>
      <c r="R72" s="19"/>
      <c r="S72" s="20"/>
      <c r="T72" s="626"/>
      <c r="U72" s="626"/>
      <c r="V72" s="626"/>
      <c r="W72" s="626"/>
      <c r="X72" s="626"/>
      <c r="Y72" s="622"/>
      <c r="Z72" s="3"/>
      <c r="AA72" s="3"/>
      <c r="AB72" s="3"/>
      <c r="AC72" s="3"/>
      <c r="AD72" s="3"/>
      <c r="AE72" s="3"/>
      <c r="AF72" s="3"/>
      <c r="AG72" s="3"/>
      <c r="AH72" s="3"/>
      <c r="AI72" s="3"/>
      <c r="AJ72" s="3"/>
      <c r="AK72" s="3"/>
      <c r="AL72" s="3"/>
      <c r="AM72" s="3"/>
      <c r="AN72" s="3"/>
      <c r="AO72" s="3"/>
      <c r="AP72" s="3"/>
      <c r="AQ72" s="3"/>
      <c r="AR72" s="3"/>
    </row>
    <row r="73" spans="1:44" ht="15.75" customHeight="1">
      <c r="A73" s="3"/>
      <c r="B73" s="800"/>
      <c r="C73" s="20"/>
      <c r="D73" s="50"/>
      <c r="E73" s="27" t="s">
        <v>414</v>
      </c>
      <c r="F73" s="596">
        <f t="shared" si="11"/>
        <v>8840.2353133333345</v>
      </c>
      <c r="G73" s="597">
        <f t="shared" si="12"/>
        <v>7840.2353133333345</v>
      </c>
      <c r="H73" s="343">
        <v>1000</v>
      </c>
      <c r="I73" s="343">
        <v>0</v>
      </c>
      <c r="J73" s="343">
        <v>10575</v>
      </c>
      <c r="K73" s="343">
        <v>3000</v>
      </c>
      <c r="L73" s="343">
        <v>0</v>
      </c>
      <c r="M73" s="20"/>
      <c r="N73" s="19"/>
      <c r="O73" s="19"/>
      <c r="P73" s="19"/>
      <c r="Q73" s="19"/>
      <c r="R73" s="19"/>
      <c r="S73" s="20"/>
      <c r="T73" s="626"/>
      <c r="U73" s="626"/>
      <c r="V73" s="626"/>
      <c r="W73" s="626"/>
      <c r="X73" s="626"/>
      <c r="Y73" s="622"/>
      <c r="Z73" s="3"/>
      <c r="AA73" s="3"/>
      <c r="AB73" s="3"/>
      <c r="AC73" s="3"/>
      <c r="AD73" s="3"/>
      <c r="AE73" s="3"/>
      <c r="AF73" s="3"/>
      <c r="AG73" s="3"/>
      <c r="AH73" s="3"/>
      <c r="AI73" s="3"/>
      <c r="AJ73" s="3"/>
      <c r="AK73" s="3"/>
      <c r="AL73" s="3"/>
      <c r="AM73" s="3"/>
      <c r="AN73" s="3"/>
      <c r="AO73" s="3"/>
      <c r="AP73" s="3"/>
      <c r="AQ73" s="3"/>
      <c r="AR73" s="3"/>
    </row>
    <row r="74" spans="1:44" ht="15.75" customHeight="1">
      <c r="A74" s="3"/>
      <c r="B74" s="800"/>
      <c r="C74" s="20"/>
      <c r="D74" s="50"/>
      <c r="E74" s="27" t="s">
        <v>416</v>
      </c>
      <c r="F74" s="596">
        <f t="shared" si="11"/>
        <v>8846.2659533333335</v>
      </c>
      <c r="G74" s="597">
        <f t="shared" si="12"/>
        <v>7846.2659533333335</v>
      </c>
      <c r="H74" s="343">
        <v>1000</v>
      </c>
      <c r="I74" s="343">
        <v>0</v>
      </c>
      <c r="J74" s="343">
        <v>10575</v>
      </c>
      <c r="K74" s="343">
        <v>8000</v>
      </c>
      <c r="L74" s="343">
        <v>0</v>
      </c>
      <c r="M74" s="20"/>
      <c r="N74" s="19"/>
      <c r="O74" s="19"/>
      <c r="P74" s="19"/>
      <c r="Q74" s="19"/>
      <c r="R74" s="19"/>
      <c r="S74" s="20"/>
      <c r="T74" s="626"/>
      <c r="U74" s="626"/>
      <c r="V74" s="626"/>
      <c r="W74" s="626"/>
      <c r="X74" s="626"/>
      <c r="Y74" s="622"/>
      <c r="Z74" s="3"/>
      <c r="AA74" s="3"/>
      <c r="AB74" s="3"/>
      <c r="AC74" s="3"/>
      <c r="AD74" s="3"/>
      <c r="AE74" s="3"/>
      <c r="AF74" s="3"/>
      <c r="AG74" s="3"/>
      <c r="AH74" s="3"/>
      <c r="AI74" s="3"/>
      <c r="AJ74" s="3"/>
      <c r="AK74" s="3"/>
      <c r="AL74" s="3"/>
      <c r="AM74" s="3"/>
      <c r="AN74" s="3"/>
      <c r="AO74" s="3"/>
      <c r="AP74" s="3"/>
      <c r="AQ74" s="3"/>
      <c r="AR74" s="3"/>
    </row>
    <row r="75" spans="1:44" ht="15.75" customHeight="1">
      <c r="A75" s="3"/>
      <c r="B75" s="800"/>
      <c r="C75" s="20"/>
      <c r="D75" s="50"/>
      <c r="E75" s="27" t="s">
        <v>417</v>
      </c>
      <c r="F75" s="596">
        <f t="shared" si="11"/>
        <v>8852.2965933333344</v>
      </c>
      <c r="G75" s="597">
        <f t="shared" si="12"/>
        <v>7852.2965933333344</v>
      </c>
      <c r="H75" s="343">
        <v>1000</v>
      </c>
      <c r="I75" s="343">
        <v>0</v>
      </c>
      <c r="J75" s="343">
        <v>10575</v>
      </c>
      <c r="K75" s="343">
        <v>500</v>
      </c>
      <c r="L75" s="343">
        <v>0</v>
      </c>
      <c r="M75" s="20"/>
      <c r="N75" s="19"/>
      <c r="O75" s="19"/>
      <c r="P75" s="19"/>
      <c r="Q75" s="19"/>
      <c r="R75" s="19"/>
      <c r="S75" s="20"/>
      <c r="T75" s="626"/>
      <c r="U75" s="626"/>
      <c r="V75" s="626"/>
      <c r="W75" s="626"/>
      <c r="X75" s="626"/>
      <c r="Y75" s="622"/>
      <c r="Z75" s="3"/>
      <c r="AA75" s="3"/>
      <c r="AB75" s="3"/>
      <c r="AC75" s="3"/>
      <c r="AD75" s="3"/>
      <c r="AE75" s="3"/>
      <c r="AF75" s="3"/>
      <c r="AG75" s="3"/>
      <c r="AH75" s="3"/>
      <c r="AI75" s="3"/>
      <c r="AJ75" s="3"/>
      <c r="AK75" s="3"/>
      <c r="AL75" s="3"/>
      <c r="AM75" s="3"/>
      <c r="AN75" s="3"/>
      <c r="AO75" s="3"/>
      <c r="AP75" s="3"/>
      <c r="AQ75" s="3"/>
      <c r="AR75" s="3"/>
    </row>
    <row r="76" spans="1:44" ht="15.75" customHeight="1">
      <c r="A76" s="3"/>
      <c r="B76" s="800"/>
      <c r="C76" s="20"/>
      <c r="D76" s="50"/>
      <c r="E76" s="27" t="s">
        <v>418</v>
      </c>
      <c r="F76" s="596">
        <f t="shared" si="11"/>
        <v>8852.8448333333345</v>
      </c>
      <c r="G76" s="597">
        <f t="shared" si="12"/>
        <v>7852.8448333333345</v>
      </c>
      <c r="H76" s="343">
        <v>1000</v>
      </c>
      <c r="I76" s="343">
        <v>0</v>
      </c>
      <c r="J76" s="343">
        <v>10575</v>
      </c>
      <c r="K76" s="343">
        <v>500</v>
      </c>
      <c r="L76" s="343">
        <v>0</v>
      </c>
      <c r="M76" s="20"/>
      <c r="N76" s="19"/>
      <c r="O76" s="19"/>
      <c r="P76" s="19"/>
      <c r="Q76" s="19"/>
      <c r="R76" s="19"/>
      <c r="S76" s="20"/>
      <c r="T76" s="626"/>
      <c r="U76" s="626"/>
      <c r="V76" s="626"/>
      <c r="W76" s="626"/>
      <c r="X76" s="626"/>
      <c r="Y76" s="622"/>
      <c r="Z76" s="3"/>
      <c r="AA76" s="3"/>
      <c r="AB76" s="3"/>
      <c r="AC76" s="3"/>
      <c r="AD76" s="3"/>
      <c r="AE76" s="3"/>
      <c r="AF76" s="3"/>
      <c r="AG76" s="3"/>
      <c r="AH76" s="3"/>
      <c r="AI76" s="3"/>
      <c r="AJ76" s="3"/>
      <c r="AK76" s="3"/>
      <c r="AL76" s="3"/>
      <c r="AM76" s="3"/>
      <c r="AN76" s="3"/>
      <c r="AO76" s="3"/>
      <c r="AP76" s="3"/>
      <c r="AQ76" s="3"/>
      <c r="AR76" s="3"/>
    </row>
    <row r="77" spans="1:44" ht="15.75" customHeight="1">
      <c r="A77" s="3"/>
      <c r="B77" s="800"/>
      <c r="C77" s="20"/>
      <c r="D77" s="50"/>
      <c r="E77" s="27" t="s">
        <v>420</v>
      </c>
      <c r="F77" s="596">
        <f t="shared" si="11"/>
        <v>8852.8448333333345</v>
      </c>
      <c r="G77" s="597">
        <f t="shared" si="12"/>
        <v>7852.8448333333345</v>
      </c>
      <c r="H77" s="343">
        <v>1000</v>
      </c>
      <c r="I77" s="343">
        <v>0</v>
      </c>
      <c r="J77" s="343">
        <v>10575</v>
      </c>
      <c r="K77" s="343">
        <v>500</v>
      </c>
      <c r="L77" s="343">
        <v>0</v>
      </c>
      <c r="M77" s="20"/>
      <c r="N77" s="19"/>
      <c r="O77" s="19"/>
      <c r="P77" s="19"/>
      <c r="Q77" s="19"/>
      <c r="R77" s="19"/>
      <c r="S77" s="20"/>
      <c r="T77" s="626"/>
      <c r="U77" s="626"/>
      <c r="V77" s="626"/>
      <c r="W77" s="626"/>
      <c r="X77" s="626"/>
      <c r="Y77" s="622"/>
      <c r="Z77" s="3"/>
      <c r="AA77" s="3"/>
      <c r="AB77" s="3"/>
      <c r="AC77" s="3"/>
      <c r="AD77" s="3"/>
      <c r="AE77" s="3"/>
      <c r="AF77" s="3"/>
      <c r="AG77" s="3"/>
      <c r="AH77" s="3"/>
      <c r="AI77" s="3"/>
      <c r="AJ77" s="3"/>
      <c r="AK77" s="3"/>
      <c r="AL77" s="3"/>
      <c r="AM77" s="3"/>
      <c r="AN77" s="3"/>
      <c r="AO77" s="3"/>
      <c r="AP77" s="3"/>
      <c r="AQ77" s="3"/>
      <c r="AR77" s="3"/>
    </row>
    <row r="78" spans="1:44" ht="15.75" customHeight="1">
      <c r="A78" s="3"/>
      <c r="B78" s="800"/>
      <c r="C78" s="20"/>
      <c r="D78" s="50"/>
      <c r="E78" s="27" t="s">
        <v>422</v>
      </c>
      <c r="F78" s="596">
        <f t="shared" si="11"/>
        <v>8840.2353133333345</v>
      </c>
      <c r="G78" s="597">
        <f t="shared" si="12"/>
        <v>7840.2353133333345</v>
      </c>
      <c r="H78" s="343">
        <v>1000</v>
      </c>
      <c r="I78" s="343">
        <v>0</v>
      </c>
      <c r="J78" s="343">
        <v>10575</v>
      </c>
      <c r="K78" s="343">
        <v>1000</v>
      </c>
      <c r="L78" s="343">
        <v>0</v>
      </c>
      <c r="M78" s="20"/>
      <c r="N78" s="19"/>
      <c r="O78" s="19"/>
      <c r="P78" s="19"/>
      <c r="Q78" s="19"/>
      <c r="R78" s="19"/>
      <c r="S78" s="20"/>
      <c r="T78" s="626"/>
      <c r="U78" s="626"/>
      <c r="V78" s="626"/>
      <c r="W78" s="626"/>
      <c r="X78" s="626"/>
      <c r="Y78" s="622"/>
      <c r="Z78" s="3"/>
      <c r="AA78" s="3"/>
      <c r="AB78" s="3"/>
      <c r="AC78" s="3"/>
      <c r="AD78" s="3"/>
      <c r="AE78" s="3"/>
      <c r="AF78" s="3"/>
      <c r="AG78" s="3"/>
      <c r="AH78" s="3"/>
      <c r="AI78" s="3"/>
      <c r="AJ78" s="3"/>
      <c r="AK78" s="3"/>
      <c r="AL78" s="3"/>
      <c r="AM78" s="3"/>
      <c r="AN78" s="3"/>
      <c r="AO78" s="3"/>
      <c r="AP78" s="3"/>
      <c r="AQ78" s="3"/>
      <c r="AR78" s="3"/>
    </row>
    <row r="79" spans="1:44" ht="15.75" customHeight="1">
      <c r="A79" s="3"/>
      <c r="B79" s="800"/>
      <c r="C79" s="20"/>
      <c r="D79" s="50"/>
      <c r="E79" s="27" t="s">
        <v>424</v>
      </c>
      <c r="F79" s="596">
        <f t="shared" si="11"/>
        <v>8830.9152333333332</v>
      </c>
      <c r="G79" s="597">
        <f t="shared" si="12"/>
        <v>7830.9152333333332</v>
      </c>
      <c r="H79" s="343">
        <v>1000</v>
      </c>
      <c r="I79" s="343">
        <v>0</v>
      </c>
      <c r="J79" s="343">
        <v>10575</v>
      </c>
      <c r="K79" s="343">
        <v>6000</v>
      </c>
      <c r="L79" s="343">
        <v>0</v>
      </c>
      <c r="M79" s="20"/>
      <c r="N79" s="19"/>
      <c r="O79" s="19"/>
      <c r="P79" s="19"/>
      <c r="Q79" s="19"/>
      <c r="R79" s="19"/>
      <c r="S79" s="20"/>
      <c r="T79" s="626"/>
      <c r="U79" s="626"/>
      <c r="V79" s="626"/>
      <c r="W79" s="626"/>
      <c r="X79" s="626"/>
      <c r="Y79" s="622"/>
      <c r="Z79" s="3"/>
      <c r="AA79" s="3"/>
      <c r="AB79" s="3"/>
      <c r="AC79" s="3"/>
      <c r="AD79" s="3"/>
      <c r="AE79" s="3"/>
      <c r="AF79" s="3"/>
      <c r="AG79" s="3"/>
      <c r="AH79" s="3"/>
      <c r="AI79" s="3"/>
      <c r="AJ79" s="3"/>
      <c r="AK79" s="3"/>
      <c r="AL79" s="3"/>
      <c r="AM79" s="3"/>
      <c r="AN79" s="3"/>
      <c r="AO79" s="3"/>
      <c r="AP79" s="3"/>
      <c r="AQ79" s="3"/>
      <c r="AR79" s="3"/>
    </row>
    <row r="80" spans="1:44" ht="15.75" customHeight="1">
      <c r="A80" s="3"/>
      <c r="B80" s="800"/>
      <c r="C80" s="20"/>
      <c r="D80" s="50"/>
      <c r="E80" s="27" t="s">
        <v>425</v>
      </c>
      <c r="F80" s="596">
        <f t="shared" si="11"/>
        <v>8818.8539533333333</v>
      </c>
      <c r="G80" s="597">
        <f t="shared" si="12"/>
        <v>7818.8539533333333</v>
      </c>
      <c r="H80" s="343">
        <v>1000</v>
      </c>
      <c r="I80" s="343">
        <v>0</v>
      </c>
      <c r="J80" s="343">
        <v>10575</v>
      </c>
      <c r="K80" s="343">
        <v>500</v>
      </c>
      <c r="L80" s="343">
        <v>0</v>
      </c>
      <c r="M80" s="20"/>
      <c r="N80" s="19"/>
      <c r="O80" s="19"/>
      <c r="P80" s="19"/>
      <c r="Q80" s="19"/>
      <c r="R80" s="19"/>
      <c r="S80" s="20"/>
      <c r="T80" s="626"/>
      <c r="U80" s="626"/>
      <c r="V80" s="626"/>
      <c r="W80" s="626"/>
      <c r="X80" s="626"/>
      <c r="Y80" s="622"/>
      <c r="Z80" s="3"/>
      <c r="AA80" s="3"/>
      <c r="AB80" s="3"/>
      <c r="AC80" s="3"/>
      <c r="AD80" s="3"/>
      <c r="AE80" s="3"/>
      <c r="AF80" s="3"/>
      <c r="AG80" s="3"/>
      <c r="AH80" s="3"/>
      <c r="AI80" s="3"/>
      <c r="AJ80" s="3"/>
      <c r="AK80" s="3"/>
      <c r="AL80" s="3"/>
      <c r="AM80" s="3"/>
      <c r="AN80" s="3"/>
      <c r="AO80" s="3"/>
      <c r="AP80" s="3"/>
      <c r="AQ80" s="3"/>
      <c r="AR80" s="3"/>
    </row>
    <row r="81" spans="1:44" ht="15.75" customHeight="1">
      <c r="A81" s="3"/>
      <c r="B81" s="800"/>
      <c r="C81" s="20"/>
      <c r="D81" s="50"/>
      <c r="E81" s="36" t="s">
        <v>426</v>
      </c>
      <c r="F81" s="596">
        <f t="shared" si="11"/>
        <v>8814.4680333333345</v>
      </c>
      <c r="G81" s="597">
        <f t="shared" si="12"/>
        <v>7814.4680333333345</v>
      </c>
      <c r="H81" s="343">
        <v>1000</v>
      </c>
      <c r="I81" s="343">
        <v>0</v>
      </c>
      <c r="J81" s="343">
        <v>10575</v>
      </c>
      <c r="K81" s="343">
        <v>500</v>
      </c>
      <c r="L81" s="343">
        <v>0</v>
      </c>
      <c r="M81" s="20"/>
      <c r="N81" s="19"/>
      <c r="O81" s="19"/>
      <c r="P81" s="19"/>
      <c r="Q81" s="19"/>
      <c r="R81" s="19"/>
      <c r="S81" s="20"/>
      <c r="T81" s="626"/>
      <c r="U81" s="626"/>
      <c r="V81" s="626"/>
      <c r="W81" s="626"/>
      <c r="X81" s="626"/>
      <c r="Y81" s="622"/>
      <c r="Z81" s="3"/>
      <c r="AA81" s="3"/>
      <c r="AB81" s="3"/>
      <c r="AC81" s="3"/>
      <c r="AD81" s="3"/>
      <c r="AE81" s="3"/>
      <c r="AF81" s="3"/>
      <c r="AG81" s="3"/>
      <c r="AH81" s="3"/>
      <c r="AI81" s="3"/>
      <c r="AJ81" s="3"/>
      <c r="AK81" s="3"/>
      <c r="AL81" s="3"/>
      <c r="AM81" s="3"/>
      <c r="AN81" s="3"/>
      <c r="AO81" s="3"/>
      <c r="AP81" s="3"/>
      <c r="AQ81" s="3"/>
      <c r="AR81" s="3"/>
    </row>
    <row r="82" spans="1:44" ht="15.75" customHeight="1">
      <c r="A82" s="3"/>
      <c r="B82" s="800"/>
      <c r="C82" s="20"/>
      <c r="D82" s="50"/>
      <c r="E82" s="27" t="s">
        <v>449</v>
      </c>
      <c r="F82" s="116">
        <f>SUM(F70:F81)</f>
        <v>106013.74552000003</v>
      </c>
      <c r="G82" s="116">
        <f>SUM(G70:G81)</f>
        <v>94013.745520000011</v>
      </c>
      <c r="H82" s="116">
        <f t="shared" ref="H82:L82" si="13">SUM(H70:H81)</f>
        <v>12000</v>
      </c>
      <c r="I82" s="116">
        <f t="shared" si="13"/>
        <v>0</v>
      </c>
      <c r="J82" s="116">
        <f>SUM(J70:J81)</f>
        <v>126900</v>
      </c>
      <c r="K82" s="116">
        <f>SUM(K70:K81)</f>
        <v>24000</v>
      </c>
      <c r="L82" s="116">
        <f t="shared" si="13"/>
        <v>0</v>
      </c>
      <c r="M82" s="20"/>
      <c r="N82" s="19"/>
      <c r="O82" s="19"/>
      <c r="P82" s="19"/>
      <c r="Q82" s="19"/>
      <c r="R82" s="19"/>
      <c r="S82" s="20"/>
      <c r="T82" s="626"/>
      <c r="U82" s="626"/>
      <c r="V82" s="626"/>
      <c r="W82" s="626"/>
      <c r="X82" s="626"/>
      <c r="Y82" s="622"/>
      <c r="Z82" s="3"/>
      <c r="AA82" s="3"/>
      <c r="AB82" s="3"/>
      <c r="AC82" s="3"/>
      <c r="AD82" s="3"/>
      <c r="AE82" s="3"/>
      <c r="AF82" s="3"/>
      <c r="AG82" s="3"/>
      <c r="AH82" s="3"/>
      <c r="AI82" s="3"/>
      <c r="AJ82" s="3"/>
      <c r="AK82" s="3"/>
      <c r="AL82" s="3"/>
      <c r="AM82" s="3"/>
      <c r="AN82" s="3"/>
      <c r="AO82" s="3"/>
      <c r="AP82" s="3"/>
      <c r="AQ82" s="3"/>
      <c r="AR82" s="3"/>
    </row>
    <row r="83" spans="1:44" ht="15.75" customHeight="1">
      <c r="A83" s="3"/>
      <c r="B83" s="800"/>
      <c r="C83" s="20"/>
      <c r="D83" s="50"/>
      <c r="E83" s="50"/>
      <c r="F83" s="50"/>
      <c r="G83" s="28"/>
      <c r="H83" s="28"/>
      <c r="I83" s="28"/>
      <c r="J83" s="28"/>
      <c r="K83" s="28"/>
      <c r="L83" s="28"/>
      <c r="M83" s="20"/>
      <c r="N83" s="19"/>
      <c r="O83" s="19"/>
      <c r="P83" s="19"/>
      <c r="Q83" s="19"/>
      <c r="R83" s="19"/>
      <c r="S83" s="20"/>
      <c r="T83" s="20"/>
      <c r="U83" s="20"/>
      <c r="V83" s="621"/>
      <c r="W83" s="621"/>
      <c r="X83" s="622"/>
      <c r="Y83" s="622"/>
      <c r="Z83" s="3"/>
      <c r="AA83" s="3"/>
      <c r="AB83" s="3"/>
      <c r="AC83" s="3"/>
      <c r="AD83" s="3"/>
      <c r="AE83" s="3"/>
      <c r="AF83" s="3"/>
      <c r="AG83" s="3"/>
      <c r="AH83" s="3"/>
      <c r="AI83" s="3"/>
      <c r="AJ83" s="3"/>
      <c r="AK83" s="3"/>
      <c r="AL83" s="3"/>
      <c r="AM83" s="3"/>
      <c r="AN83" s="3"/>
      <c r="AO83" s="3"/>
      <c r="AP83" s="3"/>
      <c r="AQ83" s="3"/>
      <c r="AR83" s="3"/>
    </row>
    <row r="84" spans="1:44" ht="15.75" customHeight="1" thickBot="1">
      <c r="A84" s="3"/>
      <c r="B84" s="800"/>
      <c r="C84" s="20"/>
      <c r="D84" s="28"/>
      <c r="E84" s="28"/>
      <c r="F84" s="28"/>
      <c r="G84" s="28"/>
      <c r="H84" s="151" t="s">
        <v>450</v>
      </c>
      <c r="I84" s="152" t="s">
        <v>447</v>
      </c>
      <c r="J84" s="152" t="s">
        <v>451</v>
      </c>
      <c r="K84" s="152" t="s">
        <v>452</v>
      </c>
      <c r="L84" s="28"/>
      <c r="M84" s="20"/>
      <c r="N84" s="19"/>
      <c r="O84" s="19"/>
      <c r="P84" s="19"/>
      <c r="Q84" s="19"/>
      <c r="R84" s="19"/>
      <c r="S84" s="20"/>
      <c r="T84" s="20"/>
      <c r="U84" s="20"/>
      <c r="V84" s="621"/>
      <c r="W84" s="621"/>
      <c r="X84" s="622"/>
      <c r="Y84" s="622"/>
      <c r="Z84" s="3"/>
      <c r="AA84" s="3"/>
      <c r="AB84" s="3"/>
      <c r="AC84" s="3"/>
      <c r="AD84" s="3"/>
      <c r="AE84" s="3"/>
      <c r="AF84" s="3"/>
      <c r="AG84" s="3"/>
      <c r="AH84" s="3"/>
      <c r="AI84" s="3"/>
      <c r="AJ84" s="3"/>
      <c r="AK84" s="3"/>
      <c r="AL84" s="3"/>
      <c r="AM84" s="3"/>
      <c r="AN84" s="3"/>
      <c r="AO84" s="3"/>
      <c r="AP84" s="3"/>
      <c r="AQ84" s="3"/>
      <c r="AR84" s="3"/>
    </row>
    <row r="85" spans="1:44" ht="15.75" customHeight="1" thickBot="1">
      <c r="A85" s="3"/>
      <c r="B85" s="800"/>
      <c r="C85" s="20"/>
      <c r="D85" s="28"/>
      <c r="E85" s="28"/>
      <c r="F85" s="28"/>
      <c r="G85" s="44" t="s">
        <v>448</v>
      </c>
      <c r="H85" s="99">
        <f>F82</f>
        <v>106013.74552000003</v>
      </c>
      <c r="I85" s="154">
        <f>G82/$H$85</f>
        <v>0.88680713108342957</v>
      </c>
      <c r="J85" s="155">
        <f>H82/H85</f>
        <v>0.11319286891657025</v>
      </c>
      <c r="K85" s="156">
        <f>I82/H85</f>
        <v>0</v>
      </c>
      <c r="L85" s="28"/>
      <c r="M85" s="20"/>
      <c r="N85" s="19"/>
      <c r="O85" s="19"/>
      <c r="P85" s="19"/>
      <c r="Q85" s="19"/>
      <c r="R85" s="19"/>
      <c r="S85" s="20"/>
      <c r="T85" s="20"/>
      <c r="U85" s="20"/>
      <c r="V85" s="621"/>
      <c r="W85" s="621"/>
      <c r="X85" s="622"/>
      <c r="Y85" s="622"/>
      <c r="Z85" s="3"/>
      <c r="AA85" s="3"/>
      <c r="AB85" s="3"/>
      <c r="AC85" s="3"/>
      <c r="AD85" s="3"/>
      <c r="AE85" s="3"/>
      <c r="AF85" s="3"/>
      <c r="AG85" s="3"/>
      <c r="AH85" s="3"/>
      <c r="AI85" s="3"/>
      <c r="AJ85" s="3"/>
      <c r="AK85" s="3"/>
      <c r="AL85" s="3"/>
      <c r="AM85" s="3"/>
      <c r="AN85" s="3"/>
      <c r="AO85" s="3"/>
      <c r="AP85" s="3"/>
      <c r="AQ85" s="3"/>
      <c r="AR85" s="3"/>
    </row>
    <row r="86" spans="1:44" ht="15.75" customHeight="1" thickBot="1">
      <c r="A86" s="3"/>
      <c r="B86" s="800"/>
      <c r="C86" s="20"/>
      <c r="D86" s="28"/>
      <c r="E86" s="28"/>
      <c r="F86" s="28"/>
      <c r="G86" s="44" t="s">
        <v>442</v>
      </c>
      <c r="H86" s="99">
        <f>J82+K82+L82</f>
        <v>150900</v>
      </c>
      <c r="I86" s="158">
        <f>J82/H86</f>
        <v>0.84095427435387671</v>
      </c>
      <c r="J86" s="159">
        <f>K82/H86</f>
        <v>0.15904572564612326</v>
      </c>
      <c r="K86" s="160">
        <f>L82/H86</f>
        <v>0</v>
      </c>
      <c r="L86" s="28"/>
      <c r="M86" s="20"/>
      <c r="N86" s="19"/>
      <c r="O86" s="19"/>
      <c r="P86" s="19"/>
      <c r="Q86" s="19"/>
      <c r="R86" s="19"/>
      <c r="S86" s="20"/>
      <c r="T86" s="20"/>
      <c r="U86" s="20"/>
      <c r="V86" s="20"/>
      <c r="W86" s="20"/>
      <c r="X86" s="3"/>
      <c r="Y86" s="3"/>
      <c r="Z86" s="3"/>
      <c r="AA86" s="3"/>
      <c r="AB86" s="3"/>
      <c r="AC86" s="3"/>
      <c r="AD86" s="3"/>
      <c r="AE86" s="3"/>
      <c r="AF86" s="3"/>
      <c r="AG86" s="3"/>
      <c r="AH86" s="3"/>
      <c r="AI86" s="3"/>
      <c r="AJ86" s="3"/>
      <c r="AK86" s="3"/>
      <c r="AL86" s="3"/>
      <c r="AM86" s="3"/>
      <c r="AN86" s="3"/>
      <c r="AO86" s="3"/>
      <c r="AP86" s="3"/>
      <c r="AQ86" s="3"/>
      <c r="AR86" s="3"/>
    </row>
    <row r="87" spans="1:44" ht="15.75" customHeight="1">
      <c r="A87" s="3"/>
      <c r="B87" s="801"/>
      <c r="C87" s="20"/>
      <c r="D87" s="28"/>
      <c r="E87" s="28"/>
      <c r="F87" s="28"/>
      <c r="G87" s="28"/>
      <c r="H87" s="28"/>
      <c r="I87" s="28"/>
      <c r="J87" s="28"/>
      <c r="K87" s="28"/>
      <c r="L87" s="28"/>
      <c r="M87" s="20"/>
      <c r="N87" s="19"/>
      <c r="O87" s="19"/>
      <c r="P87" s="19"/>
      <c r="Q87" s="19"/>
      <c r="R87" s="19"/>
      <c r="S87" s="20"/>
      <c r="T87" s="20"/>
      <c r="U87" s="20"/>
      <c r="V87" s="20"/>
      <c r="W87" s="20"/>
      <c r="X87" s="3"/>
      <c r="Y87" s="3"/>
      <c r="Z87" s="3"/>
      <c r="AA87" s="3"/>
      <c r="AB87" s="3"/>
      <c r="AC87" s="3"/>
      <c r="AD87" s="3"/>
      <c r="AE87" s="3"/>
      <c r="AF87" s="3"/>
      <c r="AG87" s="3"/>
      <c r="AH87" s="3"/>
      <c r="AI87" s="3"/>
      <c r="AJ87" s="3"/>
      <c r="AK87" s="3"/>
      <c r="AL87" s="3"/>
      <c r="AM87" s="3"/>
      <c r="AN87" s="3"/>
      <c r="AO87" s="3"/>
      <c r="AP87" s="3"/>
      <c r="AQ87" s="3"/>
      <c r="AR87" s="3"/>
    </row>
    <row r="88" spans="1:44" ht="15.75" customHeight="1">
      <c r="A88" s="3"/>
      <c r="B88" s="20"/>
      <c r="C88" s="20"/>
      <c r="D88" s="20"/>
      <c r="E88" s="20"/>
      <c r="F88" s="20"/>
      <c r="G88" s="20"/>
      <c r="H88" s="20"/>
      <c r="I88" s="20"/>
      <c r="J88" s="20"/>
      <c r="K88" s="20"/>
      <c r="L88" s="20"/>
      <c r="M88" s="20"/>
      <c r="N88" s="20"/>
      <c r="O88" s="20"/>
      <c r="P88" s="20"/>
      <c r="Q88" s="20"/>
      <c r="R88" s="20"/>
      <c r="S88" s="20"/>
      <c r="T88" s="20"/>
      <c r="U88" s="20"/>
      <c r="V88" s="20"/>
      <c r="W88" s="20"/>
      <c r="X88" s="3"/>
      <c r="Y88" s="3"/>
      <c r="Z88" s="3"/>
      <c r="AA88" s="3"/>
      <c r="AB88" s="3"/>
      <c r="AC88" s="3"/>
      <c r="AD88" s="3"/>
      <c r="AE88" s="3"/>
      <c r="AF88" s="3"/>
      <c r="AG88" s="3"/>
      <c r="AH88" s="3"/>
      <c r="AI88" s="3"/>
      <c r="AJ88" s="3"/>
      <c r="AK88" s="3"/>
      <c r="AL88" s="3"/>
      <c r="AM88" s="3"/>
      <c r="AN88" s="3"/>
      <c r="AO88" s="3"/>
      <c r="AP88" s="3"/>
      <c r="AQ88" s="3"/>
      <c r="AR88" s="3"/>
    </row>
    <row r="89" spans="1:44" ht="15.75" customHeight="1" thickBot="1">
      <c r="A89" s="3"/>
      <c r="B89" s="20"/>
      <c r="C89" s="20"/>
      <c r="D89" s="62" t="s">
        <v>454</v>
      </c>
      <c r="E89" s="20"/>
      <c r="F89" s="20"/>
      <c r="G89" s="20"/>
      <c r="H89" s="20"/>
      <c r="I89" s="20"/>
      <c r="J89" s="20"/>
      <c r="K89" s="20"/>
      <c r="L89" s="20"/>
      <c r="M89" s="20"/>
      <c r="N89" s="20"/>
      <c r="O89" s="20"/>
      <c r="P89" s="20"/>
      <c r="Q89" s="20"/>
      <c r="R89" s="20"/>
      <c r="S89" s="20"/>
      <c r="T89" s="20"/>
      <c r="U89" s="20"/>
      <c r="V89" s="20"/>
      <c r="W89" s="20"/>
      <c r="X89" s="3"/>
      <c r="Y89" s="3"/>
      <c r="Z89" s="3"/>
      <c r="AA89" s="3"/>
      <c r="AB89" s="3"/>
      <c r="AC89" s="3"/>
      <c r="AD89" s="3"/>
      <c r="AE89" s="3"/>
      <c r="AF89" s="3"/>
      <c r="AG89" s="3"/>
      <c r="AH89" s="3"/>
      <c r="AI89" s="3"/>
      <c r="AJ89" s="3"/>
      <c r="AK89" s="3"/>
      <c r="AL89" s="3"/>
      <c r="AM89" s="3"/>
      <c r="AN89" s="3"/>
      <c r="AO89" s="3"/>
      <c r="AP89" s="3"/>
      <c r="AQ89" s="3"/>
      <c r="AR89" s="3"/>
    </row>
    <row r="90" spans="1:44" ht="15.75" customHeight="1">
      <c r="A90" s="3"/>
      <c r="B90" s="799" t="s">
        <v>455</v>
      </c>
      <c r="C90" s="20"/>
      <c r="D90" s="161"/>
      <c r="E90" s="103"/>
      <c r="F90" s="103"/>
      <c r="G90" s="103"/>
      <c r="H90" s="831" t="s">
        <v>456</v>
      </c>
      <c r="I90" s="832"/>
      <c r="J90" s="103"/>
      <c r="K90" s="103"/>
      <c r="L90" s="162"/>
      <c r="M90" s="20"/>
      <c r="N90" s="19" t="s">
        <v>457</v>
      </c>
      <c r="O90" s="66"/>
      <c r="P90" s="66"/>
      <c r="Q90" s="66"/>
      <c r="R90" s="66"/>
      <c r="S90" s="20"/>
      <c r="T90" s="20"/>
      <c r="U90" s="20"/>
      <c r="V90" s="20"/>
      <c r="W90" s="20"/>
      <c r="X90" s="3"/>
      <c r="Y90" s="3"/>
      <c r="Z90" s="3"/>
      <c r="AA90" s="3"/>
      <c r="AB90" s="3"/>
      <c r="AC90" s="3"/>
      <c r="AD90" s="3"/>
      <c r="AE90" s="3"/>
      <c r="AF90" s="3"/>
      <c r="AG90" s="3"/>
      <c r="AH90" s="3"/>
      <c r="AI90" s="3"/>
      <c r="AJ90" s="3"/>
      <c r="AK90" s="3"/>
      <c r="AL90" s="3"/>
      <c r="AM90" s="3"/>
      <c r="AN90" s="3"/>
      <c r="AO90" s="3"/>
      <c r="AP90" s="3"/>
      <c r="AQ90" s="3"/>
      <c r="AR90" s="3"/>
    </row>
    <row r="91" spans="1:44" ht="15.75" customHeight="1">
      <c r="A91" s="2"/>
      <c r="B91" s="800"/>
      <c r="C91" s="20"/>
      <c r="D91" s="90"/>
      <c r="E91" s="28"/>
      <c r="F91" s="28"/>
      <c r="G91" s="28"/>
      <c r="H91" s="53" t="s">
        <v>448</v>
      </c>
      <c r="I91" s="53" t="s">
        <v>442</v>
      </c>
      <c r="J91" s="28"/>
      <c r="K91" s="28"/>
      <c r="L91" s="35"/>
      <c r="M91" s="20"/>
      <c r="N91" s="66"/>
      <c r="O91" s="66"/>
      <c r="P91" s="66"/>
      <c r="Q91" s="66"/>
      <c r="R91" s="66"/>
      <c r="S91" s="20"/>
      <c r="T91" s="20"/>
      <c r="U91" s="20"/>
      <c r="V91" s="20"/>
      <c r="W91" s="20"/>
      <c r="X91" s="3"/>
      <c r="Y91" s="3"/>
      <c r="Z91" s="3"/>
      <c r="AA91" s="3"/>
      <c r="AB91" s="3"/>
      <c r="AC91" s="3"/>
      <c r="AD91" s="3"/>
      <c r="AE91" s="3"/>
      <c r="AF91" s="3"/>
      <c r="AG91" s="3"/>
      <c r="AH91" s="3"/>
      <c r="AI91" s="3"/>
      <c r="AJ91" s="3"/>
      <c r="AK91" s="3"/>
      <c r="AL91" s="3"/>
      <c r="AM91" s="3"/>
      <c r="AN91" s="3"/>
      <c r="AO91" s="3"/>
      <c r="AP91" s="3"/>
      <c r="AQ91" s="3"/>
      <c r="AR91" s="3"/>
    </row>
    <row r="92" spans="1:44" ht="15.75" customHeight="1">
      <c r="A92" s="3"/>
      <c r="B92" s="800"/>
      <c r="C92" s="20"/>
      <c r="D92" s="820" t="s">
        <v>162</v>
      </c>
      <c r="E92" s="719"/>
      <c r="F92" s="719"/>
      <c r="G92" s="720"/>
      <c r="H92" s="163">
        <f>F82-H82-I82</f>
        <v>94013.745520000026</v>
      </c>
      <c r="I92" s="456">
        <f>J82-K82-L82</f>
        <v>102900</v>
      </c>
      <c r="J92" s="28" t="s">
        <v>438</v>
      </c>
      <c r="K92" s="28"/>
      <c r="L92" s="35"/>
      <c r="M92" s="20"/>
      <c r="N92" s="66"/>
      <c r="O92" s="66"/>
      <c r="P92" s="66"/>
      <c r="Q92" s="66"/>
      <c r="R92" s="66"/>
      <c r="S92" s="20"/>
      <c r="T92" s="20"/>
      <c r="U92" s="20"/>
      <c r="V92" s="20"/>
      <c r="W92" s="20"/>
      <c r="X92" s="3"/>
      <c r="Y92" s="3"/>
      <c r="Z92" s="3"/>
      <c r="AA92" s="3"/>
      <c r="AB92" s="3"/>
      <c r="AC92" s="3"/>
      <c r="AD92" s="3"/>
      <c r="AE92" s="3"/>
      <c r="AF92" s="3"/>
      <c r="AG92" s="3"/>
      <c r="AH92" s="3"/>
      <c r="AI92" s="3"/>
      <c r="AJ92" s="3"/>
      <c r="AK92" s="3"/>
      <c r="AL92" s="3"/>
      <c r="AM92" s="3"/>
      <c r="AN92" s="3"/>
      <c r="AO92" s="3"/>
      <c r="AP92" s="3"/>
      <c r="AQ92" s="3"/>
      <c r="AR92" s="3"/>
    </row>
    <row r="93" spans="1:44" s="432" customFormat="1" ht="15.75" customHeight="1">
      <c r="A93" s="307"/>
      <c r="B93" s="803"/>
      <c r="C93" s="308"/>
      <c r="D93" s="820" t="s">
        <v>459</v>
      </c>
      <c r="E93" s="719"/>
      <c r="F93" s="719"/>
      <c r="G93" s="720"/>
      <c r="H93" s="452">
        <f>H92/Introduction!F15</f>
        <v>1446.3653156923081</v>
      </c>
      <c r="I93" s="453">
        <f>I92/Introduction!F15</f>
        <v>1583.0769230769231</v>
      </c>
      <c r="J93" s="28" t="s">
        <v>460</v>
      </c>
      <c r="K93" s="309"/>
      <c r="L93" s="454"/>
      <c r="M93" s="308"/>
      <c r="N93" s="455"/>
      <c r="O93" s="455"/>
      <c r="P93" s="455"/>
      <c r="Q93" s="455"/>
      <c r="R93" s="455"/>
      <c r="S93" s="308"/>
      <c r="T93" s="308"/>
      <c r="U93" s="308"/>
      <c r="V93" s="308"/>
      <c r="W93" s="308"/>
      <c r="X93" s="307"/>
      <c r="Y93" s="307"/>
      <c r="Z93" s="307"/>
      <c r="AA93" s="307"/>
      <c r="AB93" s="307"/>
      <c r="AC93" s="307"/>
      <c r="AD93" s="307"/>
      <c r="AE93" s="307"/>
      <c r="AF93" s="307"/>
      <c r="AG93" s="307"/>
      <c r="AH93" s="307"/>
      <c r="AI93" s="307"/>
      <c r="AJ93" s="307"/>
      <c r="AK93" s="307"/>
      <c r="AL93" s="307"/>
      <c r="AM93" s="307"/>
      <c r="AN93" s="307"/>
      <c r="AO93" s="307"/>
      <c r="AP93" s="307"/>
      <c r="AQ93" s="307"/>
      <c r="AR93" s="307"/>
    </row>
    <row r="94" spans="1:44" ht="15.75" customHeight="1">
      <c r="A94" s="3"/>
      <c r="B94" s="800"/>
      <c r="C94" s="20"/>
      <c r="D94" s="820" t="s">
        <v>1021</v>
      </c>
      <c r="E94" s="719"/>
      <c r="F94" s="719"/>
      <c r="G94" s="720"/>
      <c r="H94" s="457">
        <f>H92/Introduction!F12</f>
        <v>3.8372957355102053</v>
      </c>
      <c r="I94" s="458">
        <f>I92/Introduction!F12</f>
        <v>4.2</v>
      </c>
      <c r="J94" s="28" t="s">
        <v>437</v>
      </c>
      <c r="K94" s="28"/>
      <c r="L94" s="35"/>
      <c r="M94" s="20"/>
      <c r="N94" s="66"/>
      <c r="O94" s="66"/>
      <c r="P94" s="66"/>
      <c r="Q94" s="66"/>
      <c r="R94" s="66"/>
      <c r="S94" s="20"/>
      <c r="T94" s="20"/>
      <c r="U94" s="20"/>
      <c r="V94" s="20"/>
      <c r="W94" s="20"/>
      <c r="X94" s="3"/>
      <c r="Y94" s="3"/>
      <c r="Z94" s="3"/>
      <c r="AA94" s="3"/>
      <c r="AB94" s="3"/>
      <c r="AC94" s="3"/>
      <c r="AD94" s="3"/>
      <c r="AE94" s="3"/>
      <c r="AF94" s="3"/>
      <c r="AG94" s="3"/>
      <c r="AH94" s="3"/>
      <c r="AI94" s="3"/>
      <c r="AJ94" s="3"/>
      <c r="AK94" s="3"/>
      <c r="AL94" s="3"/>
      <c r="AM94" s="3"/>
      <c r="AN94" s="3"/>
      <c r="AO94" s="3"/>
      <c r="AP94" s="3"/>
      <c r="AQ94" s="3"/>
      <c r="AR94" s="3"/>
    </row>
    <row r="95" spans="1:44" ht="15.75" customHeight="1">
      <c r="A95" s="3"/>
      <c r="B95" s="800"/>
      <c r="C95" s="20"/>
      <c r="D95" s="166"/>
      <c r="E95" s="28"/>
      <c r="F95" s="28"/>
      <c r="G95" s="28"/>
      <c r="H95" s="28"/>
      <c r="I95" s="28"/>
      <c r="J95" s="28"/>
      <c r="K95" s="28"/>
      <c r="L95" s="35"/>
      <c r="M95" s="20"/>
      <c r="N95" s="66"/>
      <c r="O95" s="66"/>
      <c r="P95" s="66"/>
      <c r="Q95" s="66"/>
      <c r="R95" s="66"/>
      <c r="S95" s="20"/>
      <c r="T95" s="20"/>
      <c r="U95" s="20"/>
      <c r="V95" s="20"/>
      <c r="W95" s="20"/>
      <c r="X95" s="3"/>
      <c r="Y95" s="3"/>
      <c r="Z95" s="3"/>
      <c r="AA95" s="3"/>
      <c r="AB95" s="3"/>
      <c r="AC95" s="3"/>
      <c r="AD95" s="3"/>
      <c r="AE95" s="3"/>
      <c r="AF95" s="3"/>
      <c r="AG95" s="3"/>
      <c r="AH95" s="3"/>
      <c r="AI95" s="3"/>
      <c r="AJ95" s="3"/>
      <c r="AK95" s="3"/>
      <c r="AL95" s="3"/>
      <c r="AM95" s="3"/>
      <c r="AN95" s="3"/>
      <c r="AO95" s="3"/>
      <c r="AP95" s="3"/>
      <c r="AQ95" s="3"/>
      <c r="AR95" s="3"/>
    </row>
    <row r="96" spans="1:44" ht="15.75" customHeight="1">
      <c r="A96" s="3"/>
      <c r="B96" s="800"/>
      <c r="C96" s="20"/>
      <c r="D96" s="90"/>
      <c r="E96" s="28"/>
      <c r="F96" s="28"/>
      <c r="G96" s="28"/>
      <c r="H96" s="28" t="s">
        <v>29</v>
      </c>
      <c r="I96" s="28"/>
      <c r="J96" s="28"/>
      <c r="K96" s="28"/>
      <c r="L96" s="35"/>
      <c r="M96" s="20"/>
      <c r="N96" s="66"/>
      <c r="O96" s="66"/>
      <c r="P96" s="66"/>
      <c r="Q96" s="66"/>
      <c r="R96" s="66"/>
      <c r="S96" s="20"/>
      <c r="T96" s="20"/>
      <c r="U96" s="20"/>
      <c r="V96" s="20"/>
      <c r="W96" s="20"/>
      <c r="X96" s="3"/>
      <c r="Y96" s="3"/>
      <c r="Z96" s="3"/>
      <c r="AA96" s="3"/>
      <c r="AB96" s="3"/>
      <c r="AC96" s="3"/>
      <c r="AD96" s="3"/>
      <c r="AE96" s="3"/>
      <c r="AF96" s="3"/>
      <c r="AG96" s="3"/>
      <c r="AH96" s="3"/>
      <c r="AI96" s="3"/>
      <c r="AJ96" s="3"/>
      <c r="AK96" s="3"/>
      <c r="AL96" s="3"/>
      <c r="AM96" s="3"/>
      <c r="AN96" s="3"/>
      <c r="AO96" s="3"/>
      <c r="AP96" s="3"/>
      <c r="AQ96" s="3"/>
      <c r="AR96" s="3"/>
    </row>
    <row r="97" spans="1:44" ht="15.75" customHeight="1">
      <c r="A97" s="3"/>
      <c r="B97" s="800"/>
      <c r="C97" s="20"/>
      <c r="D97" s="820" t="s">
        <v>462</v>
      </c>
      <c r="E97" s="719"/>
      <c r="F97" s="719"/>
      <c r="G97" s="720"/>
      <c r="H97" s="63">
        <f>IF(Introduction!AA99=100%,Introduction!N20,Introduction!O8)</f>
        <v>357700</v>
      </c>
      <c r="I97" s="28" t="s">
        <v>438</v>
      </c>
      <c r="J97" s="28"/>
      <c r="K97" s="28"/>
      <c r="L97" s="35"/>
      <c r="M97" s="20"/>
      <c r="N97" s="66"/>
      <c r="O97" s="66"/>
      <c r="P97" s="66"/>
      <c r="Q97" s="66"/>
      <c r="R97" s="66"/>
      <c r="S97" s="20"/>
      <c r="T97" s="20"/>
      <c r="U97" s="20"/>
      <c r="V97" s="20"/>
      <c r="W97" s="20"/>
      <c r="X97" s="3"/>
      <c r="Y97" s="3"/>
      <c r="Z97" s="3"/>
      <c r="AA97" s="3"/>
      <c r="AB97" s="3"/>
      <c r="AC97" s="3"/>
      <c r="AD97" s="3"/>
      <c r="AE97" s="3"/>
      <c r="AF97" s="3"/>
      <c r="AG97" s="3"/>
      <c r="AH97" s="3"/>
      <c r="AI97" s="3"/>
      <c r="AJ97" s="3"/>
      <c r="AK97" s="3"/>
      <c r="AL97" s="3"/>
      <c r="AM97" s="3"/>
      <c r="AN97" s="3"/>
      <c r="AO97" s="3"/>
      <c r="AP97" s="3"/>
      <c r="AQ97" s="3"/>
      <c r="AR97" s="3"/>
    </row>
    <row r="98" spans="1:44" ht="15.75" customHeight="1">
      <c r="A98" s="3"/>
      <c r="B98" s="800"/>
      <c r="C98" s="20"/>
      <c r="D98" s="820" t="s">
        <v>463</v>
      </c>
      <c r="E98" s="719"/>
      <c r="F98" s="719"/>
      <c r="G98" s="720"/>
      <c r="H98" s="63">
        <f>Introduction!O9</f>
        <v>5503.0769230769229</v>
      </c>
      <c r="I98" s="28" t="s">
        <v>460</v>
      </c>
      <c r="J98" s="28"/>
      <c r="K98" s="28"/>
      <c r="L98" s="35"/>
      <c r="M98" s="20"/>
      <c r="N98" s="66"/>
      <c r="O98" s="66"/>
      <c r="P98" s="66"/>
      <c r="Q98" s="66"/>
      <c r="R98" s="66"/>
      <c r="S98" s="20"/>
      <c r="T98" s="20"/>
      <c r="U98" s="20"/>
      <c r="V98" s="20"/>
      <c r="W98" s="20"/>
      <c r="X98" s="3"/>
      <c r="Y98" s="3"/>
      <c r="Z98" s="3"/>
      <c r="AA98" s="3"/>
      <c r="AB98" s="3"/>
      <c r="AC98" s="3"/>
      <c r="AD98" s="3"/>
      <c r="AE98" s="3"/>
      <c r="AF98" s="3"/>
      <c r="AG98" s="3"/>
      <c r="AH98" s="3"/>
      <c r="AI98" s="3"/>
      <c r="AJ98" s="3"/>
      <c r="AK98" s="3"/>
      <c r="AL98" s="3"/>
      <c r="AM98" s="3"/>
      <c r="AN98" s="3"/>
      <c r="AO98" s="3"/>
      <c r="AP98" s="3"/>
      <c r="AQ98" s="3"/>
      <c r="AR98" s="3"/>
    </row>
    <row r="99" spans="1:44" ht="15.75" customHeight="1" thickBot="1">
      <c r="A99" s="3"/>
      <c r="B99" s="800"/>
      <c r="C99" s="20"/>
      <c r="D99" s="90"/>
      <c r="E99" s="28"/>
      <c r="F99" s="28"/>
      <c r="G99" s="28"/>
      <c r="H99" s="28"/>
      <c r="I99" s="309"/>
      <c r="J99" s="28"/>
      <c r="K99" s="28"/>
      <c r="L99" s="35"/>
      <c r="M99" s="20"/>
      <c r="N99" s="66"/>
      <c r="O99" s="66"/>
      <c r="P99" s="66"/>
      <c r="Q99" s="66"/>
      <c r="R99" s="66"/>
      <c r="S99" s="20"/>
      <c r="T99" s="20"/>
      <c r="U99" s="20"/>
      <c r="V99" s="20"/>
      <c r="W99" s="20"/>
      <c r="X99" s="3"/>
      <c r="Y99" s="3"/>
      <c r="Z99" s="3"/>
      <c r="AA99" s="3"/>
      <c r="AB99" s="3"/>
      <c r="AC99" s="3"/>
      <c r="AD99" s="3"/>
      <c r="AE99" s="3"/>
      <c r="AF99" s="3"/>
      <c r="AG99" s="3"/>
      <c r="AH99" s="3"/>
      <c r="AI99" s="3"/>
      <c r="AJ99" s="3"/>
      <c r="AK99" s="3"/>
      <c r="AL99" s="3"/>
      <c r="AM99" s="3"/>
      <c r="AN99" s="3"/>
      <c r="AO99" s="3"/>
      <c r="AP99" s="3"/>
      <c r="AQ99" s="3"/>
      <c r="AR99" s="3"/>
    </row>
    <row r="100" spans="1:44" ht="15.75" customHeight="1" thickBot="1">
      <c r="A100" s="3"/>
      <c r="B100" s="800"/>
      <c r="C100" s="20"/>
      <c r="D100" s="820" t="s">
        <v>464</v>
      </c>
      <c r="E100" s="719"/>
      <c r="F100" s="719"/>
      <c r="G100" s="720"/>
      <c r="H100" s="617">
        <f>1-(H92/H97)</f>
        <v>0.73717152496505445</v>
      </c>
      <c r="I100" s="620">
        <f>IF(H86=0, "N/A", (1-I92/H97))</f>
        <v>0.71232876712328763</v>
      </c>
      <c r="J100" s="618"/>
      <c r="K100" s="28"/>
      <c r="L100" s="35"/>
      <c r="M100" s="20"/>
      <c r="N100" s="66"/>
      <c r="O100" s="66"/>
      <c r="P100" s="66"/>
      <c r="Q100" s="66"/>
      <c r="R100" s="66"/>
      <c r="S100" s="20"/>
      <c r="T100" s="20"/>
      <c r="U100" s="20"/>
      <c r="V100" s="20"/>
      <c r="W100" s="20"/>
      <c r="X100" s="3"/>
      <c r="Y100" s="3"/>
      <c r="Z100" s="3"/>
      <c r="AA100" s="3"/>
      <c r="AB100" s="3"/>
      <c r="AC100" s="3"/>
      <c r="AD100" s="3"/>
      <c r="AE100" s="3"/>
      <c r="AF100" s="3"/>
      <c r="AG100" s="3"/>
      <c r="AH100" s="3"/>
      <c r="AI100" s="3"/>
      <c r="AJ100" s="3"/>
      <c r="AK100" s="3"/>
      <c r="AL100" s="3"/>
      <c r="AM100" s="3"/>
      <c r="AN100" s="3"/>
      <c r="AO100" s="3"/>
      <c r="AP100" s="3"/>
      <c r="AQ100" s="3"/>
      <c r="AR100" s="3"/>
    </row>
    <row r="101" spans="1:44" ht="15.75" customHeight="1" thickBot="1">
      <c r="A101" s="3"/>
      <c r="B101" s="801"/>
      <c r="C101" s="20"/>
      <c r="D101" s="847"/>
      <c r="E101" s="716"/>
      <c r="F101" s="716"/>
      <c r="G101" s="717"/>
      <c r="H101" s="64"/>
      <c r="I101" s="619"/>
      <c r="J101" s="64"/>
      <c r="K101" s="64"/>
      <c r="L101" s="65"/>
      <c r="M101" s="20"/>
      <c r="N101" s="66"/>
      <c r="O101" s="66"/>
      <c r="P101" s="66"/>
      <c r="Q101" s="66"/>
      <c r="R101" s="66"/>
      <c r="S101" s="20"/>
      <c r="T101" s="20"/>
      <c r="U101" s="20"/>
      <c r="V101" s="20"/>
      <c r="W101" s="20"/>
      <c r="X101" s="3"/>
      <c r="Y101" s="3"/>
      <c r="Z101" s="3"/>
      <c r="AA101" s="3"/>
      <c r="AB101" s="3"/>
      <c r="AC101" s="3"/>
      <c r="AD101" s="3"/>
      <c r="AE101" s="3"/>
      <c r="AF101" s="3"/>
      <c r="AG101" s="3"/>
      <c r="AH101" s="3"/>
      <c r="AI101" s="3"/>
      <c r="AJ101" s="3"/>
      <c r="AK101" s="3"/>
      <c r="AL101" s="3"/>
      <c r="AM101" s="3"/>
      <c r="AN101" s="3"/>
      <c r="AO101" s="3"/>
      <c r="AP101" s="3"/>
      <c r="AQ101" s="3"/>
      <c r="AR101" s="3"/>
    </row>
    <row r="102" spans="1:44" ht="15.75" customHeight="1">
      <c r="A102" s="3"/>
      <c r="B102" s="20"/>
      <c r="C102" s="20"/>
      <c r="D102" s="20"/>
      <c r="E102" s="20"/>
      <c r="F102" s="20"/>
      <c r="G102" s="20"/>
      <c r="H102" s="20"/>
      <c r="I102" s="20"/>
      <c r="J102" s="20"/>
      <c r="K102" s="20"/>
      <c r="L102" s="20"/>
      <c r="M102" s="20"/>
      <c r="N102" s="62"/>
      <c r="O102" s="62"/>
      <c r="P102" s="62"/>
      <c r="Q102" s="62"/>
      <c r="R102" s="62"/>
      <c r="S102" s="20"/>
      <c r="T102" s="20"/>
      <c r="U102" s="20"/>
      <c r="V102" s="20"/>
      <c r="W102" s="20"/>
      <c r="X102" s="3"/>
      <c r="Y102" s="3"/>
      <c r="Z102" s="3"/>
      <c r="AA102" s="3"/>
      <c r="AB102" s="3"/>
      <c r="AC102" s="3"/>
      <c r="AD102" s="3"/>
      <c r="AE102" s="3"/>
      <c r="AF102" s="3"/>
      <c r="AG102" s="3"/>
      <c r="AH102" s="3"/>
      <c r="AI102" s="3"/>
      <c r="AJ102" s="3"/>
      <c r="AK102" s="3"/>
      <c r="AL102" s="3"/>
      <c r="AM102" s="3"/>
      <c r="AN102" s="3"/>
      <c r="AO102" s="3"/>
      <c r="AP102" s="3"/>
      <c r="AQ102" s="3"/>
      <c r="AR102" s="3"/>
    </row>
    <row r="103" spans="1:44" ht="15.75" customHeight="1">
      <c r="A103" s="3"/>
      <c r="B103" s="20"/>
      <c r="C103" s="20"/>
      <c r="D103" s="20"/>
      <c r="E103" s="20"/>
      <c r="F103" s="20"/>
      <c r="G103" s="20"/>
      <c r="H103" s="20"/>
      <c r="I103" s="20"/>
      <c r="J103" s="20"/>
      <c r="K103" s="20"/>
      <c r="L103" s="20"/>
      <c r="M103" s="20"/>
      <c r="N103" s="20"/>
      <c r="O103" s="20"/>
      <c r="P103" s="20"/>
      <c r="Q103" s="20"/>
      <c r="R103" s="20"/>
      <c r="S103" s="20"/>
      <c r="T103" s="20"/>
      <c r="U103" s="20"/>
      <c r="V103" s="20"/>
      <c r="W103" s="20"/>
      <c r="X103" s="3"/>
      <c r="Y103" s="3"/>
      <c r="Z103" s="3"/>
      <c r="AA103" s="3"/>
      <c r="AB103" s="3"/>
      <c r="AC103" s="3"/>
      <c r="AD103" s="3"/>
      <c r="AE103" s="3"/>
      <c r="AF103" s="3"/>
      <c r="AG103" s="3"/>
      <c r="AH103" s="3"/>
      <c r="AI103" s="3"/>
      <c r="AJ103" s="3"/>
      <c r="AK103" s="3"/>
      <c r="AL103" s="3"/>
      <c r="AM103" s="3"/>
      <c r="AN103" s="3"/>
      <c r="AO103" s="3"/>
      <c r="AP103" s="3"/>
      <c r="AQ103" s="3"/>
      <c r="AR103" s="3"/>
    </row>
    <row r="104" spans="1:44" ht="15.75" customHeight="1">
      <c r="A104" s="3"/>
      <c r="B104" s="799" t="s">
        <v>472</v>
      </c>
      <c r="C104" s="20"/>
      <c r="D104" s="846" t="s">
        <v>1039</v>
      </c>
      <c r="E104" s="719"/>
      <c r="F104" s="719"/>
      <c r="G104" s="719"/>
      <c r="H104" s="720"/>
      <c r="I104" s="26"/>
      <c r="J104" s="26"/>
      <c r="K104" s="26"/>
      <c r="L104" s="26"/>
      <c r="M104" s="20"/>
      <c r="N104" s="819" t="s">
        <v>478</v>
      </c>
      <c r="O104" s="720"/>
      <c r="P104" s="19"/>
      <c r="Q104" s="19"/>
      <c r="R104" s="19"/>
      <c r="S104" s="20"/>
      <c r="T104" s="19"/>
      <c r="U104" s="19"/>
      <c r="V104" s="19"/>
      <c r="W104" s="19"/>
      <c r="X104" s="3"/>
      <c r="Y104" s="3"/>
      <c r="Z104" s="3"/>
      <c r="AA104" s="3"/>
      <c r="AB104" s="3"/>
      <c r="AC104" s="3"/>
      <c r="AD104" s="3"/>
      <c r="AE104" s="3"/>
      <c r="AF104" s="3"/>
      <c r="AG104" s="3"/>
      <c r="AH104" s="3"/>
      <c r="AI104" s="3"/>
      <c r="AJ104" s="3"/>
      <c r="AK104" s="3"/>
      <c r="AL104" s="3"/>
      <c r="AM104" s="3"/>
      <c r="AN104" s="3"/>
      <c r="AO104" s="3"/>
      <c r="AP104" s="3"/>
      <c r="AQ104" s="3"/>
      <c r="AR104" s="3"/>
    </row>
    <row r="105" spans="1:44" ht="15.75" customHeight="1">
      <c r="A105" s="3"/>
      <c r="B105" s="800"/>
      <c r="C105" s="20"/>
      <c r="D105" s="57"/>
      <c r="E105" s="57"/>
      <c r="F105" s="57"/>
      <c r="G105" s="57"/>
      <c r="H105" s="57"/>
      <c r="I105" s="57"/>
      <c r="J105" s="57"/>
      <c r="K105" s="57"/>
      <c r="L105" s="57"/>
      <c r="M105" s="20"/>
      <c r="N105" s="68" t="s">
        <v>44</v>
      </c>
      <c r="O105" s="169" t="s">
        <v>481</v>
      </c>
      <c r="P105" s="37" t="s">
        <v>483</v>
      </c>
      <c r="Q105" s="37" t="s">
        <v>484</v>
      </c>
      <c r="R105" s="19"/>
      <c r="S105" s="20"/>
      <c r="T105" s="66" t="s">
        <v>486</v>
      </c>
      <c r="U105" s="19"/>
      <c r="V105" s="19"/>
      <c r="W105" s="19"/>
      <c r="X105" s="3"/>
      <c r="Y105" s="3"/>
      <c r="Z105" s="3"/>
      <c r="AA105" s="3"/>
      <c r="AB105" s="3"/>
      <c r="AC105" s="3"/>
      <c r="AD105" s="3"/>
      <c r="AE105" s="3"/>
      <c r="AF105" s="3"/>
      <c r="AG105" s="3"/>
      <c r="AH105" s="3"/>
      <c r="AI105" s="3"/>
      <c r="AJ105" s="3"/>
      <c r="AK105" s="3"/>
      <c r="AL105" s="3"/>
      <c r="AM105" s="3"/>
      <c r="AN105" s="3"/>
      <c r="AO105" s="3"/>
      <c r="AP105" s="3"/>
      <c r="AQ105" s="3"/>
      <c r="AR105" s="3"/>
    </row>
    <row r="106" spans="1:44" ht="15.75" customHeight="1">
      <c r="A106" s="3"/>
      <c r="B106" s="800"/>
      <c r="C106" s="20"/>
      <c r="D106" s="170"/>
      <c r="E106" s="170"/>
      <c r="F106" s="170"/>
      <c r="G106" s="170" t="s">
        <v>488</v>
      </c>
      <c r="H106" s="329">
        <v>3.6</v>
      </c>
      <c r="I106" s="57"/>
      <c r="J106" s="57"/>
      <c r="K106" s="57"/>
      <c r="L106" s="57"/>
      <c r="M106" s="20"/>
      <c r="N106" s="71" t="s">
        <v>489</v>
      </c>
      <c r="O106" s="18">
        <v>3.6</v>
      </c>
      <c r="P106" s="19" t="s">
        <v>490</v>
      </c>
      <c r="Q106" s="19" t="s">
        <v>491</v>
      </c>
      <c r="R106" s="19"/>
      <c r="S106" s="20"/>
      <c r="T106" s="22" t="str">
        <f>HYPERLINK("http://www.nws.noaa.gov/oh/hdsc/PF_documents/TechnicalPaper_No40.pdf","US Rainfall Atlas")</f>
        <v>US Rainfall Atlas</v>
      </c>
      <c r="U106" s="19"/>
      <c r="V106" s="19"/>
      <c r="W106" s="19"/>
      <c r="X106" s="3"/>
      <c r="Y106" s="3"/>
      <c r="Z106" s="3"/>
      <c r="AA106" s="3"/>
      <c r="AB106" s="3"/>
      <c r="AC106" s="3"/>
      <c r="AD106" s="3"/>
      <c r="AE106" s="3"/>
      <c r="AF106" s="3"/>
      <c r="AG106" s="3"/>
      <c r="AH106" s="3"/>
      <c r="AI106" s="3"/>
      <c r="AJ106" s="3"/>
      <c r="AK106" s="3"/>
      <c r="AL106" s="3"/>
      <c r="AM106" s="3"/>
      <c r="AN106" s="3"/>
      <c r="AO106" s="3"/>
      <c r="AP106" s="3"/>
      <c r="AQ106" s="3"/>
      <c r="AR106" s="3"/>
    </row>
    <row r="107" spans="1:44" ht="15.75" customHeight="1">
      <c r="A107" s="3"/>
      <c r="B107" s="800"/>
      <c r="C107" s="20"/>
      <c r="D107" s="170"/>
      <c r="E107" s="170"/>
      <c r="F107" s="170"/>
      <c r="G107" s="170" t="s">
        <v>495</v>
      </c>
      <c r="H107" s="57">
        <f>H106/12</f>
        <v>0.3</v>
      </c>
      <c r="I107" s="57"/>
      <c r="J107" s="57"/>
      <c r="K107" s="57"/>
      <c r="L107" s="57"/>
      <c r="M107" s="20"/>
      <c r="N107" s="71" t="s">
        <v>497</v>
      </c>
      <c r="O107" s="18">
        <v>2.4</v>
      </c>
      <c r="P107" s="19" t="s">
        <v>498</v>
      </c>
      <c r="Q107" s="19" t="s">
        <v>499</v>
      </c>
      <c r="R107" s="19"/>
      <c r="S107" s="20"/>
      <c r="T107" s="807" t="s">
        <v>500</v>
      </c>
      <c r="U107" s="808"/>
      <c r="V107" s="808"/>
      <c r="W107" s="809"/>
      <c r="X107" s="3"/>
      <c r="Y107" s="3"/>
      <c r="Z107" s="3"/>
      <c r="AA107" s="3"/>
      <c r="AB107" s="3"/>
      <c r="AC107" s="3"/>
      <c r="AD107" s="3"/>
      <c r="AE107" s="3"/>
      <c r="AF107" s="3"/>
      <c r="AG107" s="3"/>
      <c r="AH107" s="3"/>
      <c r="AI107" s="3"/>
      <c r="AJ107" s="3"/>
      <c r="AK107" s="3"/>
      <c r="AL107" s="3"/>
      <c r="AM107" s="3"/>
      <c r="AN107" s="3"/>
      <c r="AO107" s="3"/>
      <c r="AP107" s="3"/>
      <c r="AQ107" s="3"/>
      <c r="AR107" s="3"/>
    </row>
    <row r="108" spans="1:44" ht="15.75" customHeight="1">
      <c r="A108" s="3"/>
      <c r="B108" s="800"/>
      <c r="C108" s="20"/>
      <c r="D108" s="170"/>
      <c r="E108" s="170"/>
      <c r="F108" s="170"/>
      <c r="G108" s="170" t="s">
        <v>503</v>
      </c>
      <c r="H108" s="329">
        <v>27</v>
      </c>
      <c r="I108" s="57"/>
      <c r="J108" s="57"/>
      <c r="K108" s="57"/>
      <c r="L108" s="57"/>
      <c r="M108" s="20"/>
      <c r="N108" s="71" t="s">
        <v>504</v>
      </c>
      <c r="O108" s="18">
        <v>2</v>
      </c>
      <c r="P108" s="19" t="s">
        <v>505</v>
      </c>
      <c r="Q108" s="19" t="s">
        <v>506</v>
      </c>
      <c r="R108" s="19"/>
      <c r="S108" s="20"/>
      <c r="T108" s="810"/>
      <c r="U108" s="811"/>
      <c r="V108" s="811"/>
      <c r="W108" s="812"/>
      <c r="X108" s="3"/>
      <c r="Y108" s="3"/>
      <c r="Z108" s="3"/>
      <c r="AA108" s="3"/>
      <c r="AB108" s="3"/>
      <c r="AC108" s="3"/>
      <c r="AD108" s="3"/>
      <c r="AE108" s="3"/>
      <c r="AF108" s="3"/>
      <c r="AG108" s="3"/>
      <c r="AH108" s="3"/>
      <c r="AI108" s="3"/>
      <c r="AJ108" s="3"/>
      <c r="AK108" s="3"/>
      <c r="AL108" s="3"/>
      <c r="AM108" s="3"/>
      <c r="AN108" s="3"/>
      <c r="AO108" s="3"/>
      <c r="AP108" s="3"/>
      <c r="AQ108" s="3"/>
      <c r="AR108" s="3"/>
    </row>
    <row r="109" spans="1:44" ht="15.75" customHeight="1">
      <c r="A109" s="3"/>
      <c r="B109" s="800"/>
      <c r="C109" s="20"/>
      <c r="D109" s="57"/>
      <c r="E109" s="57"/>
      <c r="F109" s="57"/>
      <c r="G109" s="57"/>
      <c r="H109" s="57"/>
      <c r="I109" s="57"/>
      <c r="J109" s="848" t="s">
        <v>508</v>
      </c>
      <c r="K109" s="803"/>
      <c r="L109" s="57"/>
      <c r="M109" s="20"/>
      <c r="N109" s="71" t="s">
        <v>511</v>
      </c>
      <c r="O109" s="18">
        <v>3.7</v>
      </c>
      <c r="P109" s="19" t="s">
        <v>512</v>
      </c>
      <c r="Q109" s="19" t="s">
        <v>513</v>
      </c>
      <c r="R109" s="19"/>
      <c r="S109" s="20"/>
      <c r="T109" s="19"/>
      <c r="U109" s="19"/>
      <c r="V109" s="19"/>
      <c r="W109" s="19"/>
      <c r="X109" s="3"/>
      <c r="Y109" s="3"/>
      <c r="Z109" s="3"/>
      <c r="AA109" s="3"/>
      <c r="AB109" s="3"/>
      <c r="AC109" s="3"/>
      <c r="AD109" s="3"/>
      <c r="AE109" s="3"/>
      <c r="AF109" s="3"/>
      <c r="AG109" s="3"/>
      <c r="AH109" s="3"/>
      <c r="AI109" s="3"/>
      <c r="AJ109" s="3"/>
      <c r="AK109" s="3"/>
      <c r="AL109" s="3"/>
      <c r="AM109" s="3"/>
      <c r="AN109" s="3"/>
      <c r="AO109" s="3"/>
      <c r="AP109" s="3"/>
      <c r="AQ109" s="3"/>
      <c r="AR109" s="3"/>
    </row>
    <row r="110" spans="1:44" ht="12.75" customHeight="1">
      <c r="A110" s="3"/>
      <c r="B110" s="800"/>
      <c r="C110" s="20"/>
      <c r="D110" s="57"/>
      <c r="E110" s="57"/>
      <c r="F110" s="57"/>
      <c r="G110" s="174" t="s">
        <v>483</v>
      </c>
      <c r="H110" s="176" t="s">
        <v>516</v>
      </c>
      <c r="I110" s="176" t="s">
        <v>519</v>
      </c>
      <c r="J110" s="177" t="s">
        <v>520</v>
      </c>
      <c r="K110" s="459" t="s">
        <v>526</v>
      </c>
      <c r="L110" s="57"/>
      <c r="M110" s="20"/>
      <c r="N110" s="71" t="s">
        <v>528</v>
      </c>
      <c r="O110" s="18">
        <v>1.4</v>
      </c>
      <c r="P110" s="19" t="s">
        <v>529</v>
      </c>
      <c r="Q110" s="19" t="s">
        <v>530</v>
      </c>
      <c r="R110" s="19"/>
      <c r="S110" s="20"/>
      <c r="T110" s="66" t="s">
        <v>531</v>
      </c>
      <c r="U110" s="19"/>
      <c r="V110" s="19"/>
      <c r="W110" s="19"/>
      <c r="X110" s="3"/>
      <c r="Y110" s="3"/>
      <c r="Z110" s="3"/>
      <c r="AA110" s="3"/>
      <c r="AB110" s="3"/>
      <c r="AC110" s="3"/>
      <c r="AD110" s="3"/>
      <c r="AE110" s="3"/>
      <c r="AF110" s="3"/>
      <c r="AG110" s="3"/>
      <c r="AH110" s="3"/>
      <c r="AI110" s="3"/>
      <c r="AJ110" s="3"/>
      <c r="AK110" s="3"/>
      <c r="AL110" s="3"/>
      <c r="AM110" s="3"/>
      <c r="AN110" s="3"/>
      <c r="AO110" s="3"/>
      <c r="AP110" s="3"/>
      <c r="AQ110" s="3"/>
      <c r="AR110" s="3"/>
    </row>
    <row r="111" spans="1:44" ht="15.75" customHeight="1">
      <c r="A111" s="3"/>
      <c r="B111" s="800"/>
      <c r="C111" s="20"/>
      <c r="D111" s="57"/>
      <c r="E111" s="57"/>
      <c r="F111" s="57"/>
      <c r="G111" s="170" t="s">
        <v>532</v>
      </c>
      <c r="H111" s="57">
        <v>0.9</v>
      </c>
      <c r="I111" s="63">
        <f>'3 - Ecology'!E7</f>
        <v>24500</v>
      </c>
      <c r="J111" s="178">
        <f>$H$107*I111</f>
        <v>7350</v>
      </c>
      <c r="K111" s="178">
        <f t="shared" ref="K111:K115" si="14">H111*J111</f>
        <v>6615</v>
      </c>
      <c r="L111" s="57"/>
      <c r="M111" s="20"/>
      <c r="N111" s="71" t="s">
        <v>535</v>
      </c>
      <c r="O111" s="18">
        <v>1.4</v>
      </c>
      <c r="P111" s="19" t="s">
        <v>536</v>
      </c>
      <c r="Q111" s="19" t="s">
        <v>530</v>
      </c>
      <c r="R111" s="19"/>
      <c r="S111" s="20"/>
      <c r="T111" s="22" t="str">
        <f>HYPERLINK("https://www.nrcs.usda.gov/Internet/FSE_DOCUMENTS/stelprdb1083019.pdf","Run Coeficient Table")</f>
        <v>Run Coeficient Table</v>
      </c>
      <c r="U111" s="19"/>
      <c r="V111" s="19"/>
      <c r="W111" s="19"/>
      <c r="X111" s="3"/>
      <c r="Y111" s="3"/>
      <c r="Z111" s="3"/>
      <c r="AA111" s="3"/>
      <c r="AB111" s="3"/>
      <c r="AC111" s="3"/>
      <c r="AD111" s="3"/>
      <c r="AE111" s="3"/>
      <c r="AF111" s="3"/>
      <c r="AG111" s="3"/>
      <c r="AH111" s="3"/>
      <c r="AI111" s="3"/>
      <c r="AJ111" s="3"/>
      <c r="AK111" s="3"/>
      <c r="AL111" s="3"/>
      <c r="AM111" s="3"/>
      <c r="AN111" s="3"/>
      <c r="AO111" s="3"/>
      <c r="AP111" s="3"/>
      <c r="AQ111" s="3"/>
      <c r="AR111" s="3"/>
    </row>
    <row r="112" spans="1:44" ht="15.75" customHeight="1">
      <c r="A112" s="3"/>
      <c r="B112" s="800"/>
      <c r="C112" s="20"/>
      <c r="D112" s="57"/>
      <c r="E112" s="57"/>
      <c r="F112" s="57"/>
      <c r="G112" s="170" t="s">
        <v>539</v>
      </c>
      <c r="H112" s="57">
        <v>0.9</v>
      </c>
      <c r="I112" s="63">
        <f>'3 - Ecology'!E8+'3 - Ecology'!E9</f>
        <v>900</v>
      </c>
      <c r="J112" s="178">
        <f t="shared" ref="J112:J115" si="15">$H$107*I112</f>
        <v>270</v>
      </c>
      <c r="K112" s="178">
        <f t="shared" si="14"/>
        <v>243</v>
      </c>
      <c r="L112" s="57"/>
      <c r="M112" s="20"/>
      <c r="N112" s="71" t="s">
        <v>541</v>
      </c>
      <c r="O112" s="18">
        <v>4.5999999999999996</v>
      </c>
      <c r="P112" s="19" t="s">
        <v>542</v>
      </c>
      <c r="Q112" s="19" t="s">
        <v>543</v>
      </c>
      <c r="R112" s="19"/>
      <c r="S112" s="20"/>
      <c r="T112" s="807" t="s">
        <v>544</v>
      </c>
      <c r="U112" s="808"/>
      <c r="V112" s="808"/>
      <c r="W112" s="809"/>
      <c r="X112" s="3"/>
      <c r="Y112" s="3"/>
      <c r="Z112" s="3"/>
      <c r="AA112" s="3"/>
      <c r="AB112" s="3"/>
      <c r="AC112" s="3"/>
      <c r="AD112" s="3"/>
      <c r="AE112" s="3"/>
      <c r="AF112" s="3"/>
      <c r="AG112" s="3"/>
      <c r="AH112" s="3"/>
      <c r="AI112" s="3"/>
      <c r="AJ112" s="3"/>
      <c r="AK112" s="3"/>
      <c r="AL112" s="3"/>
      <c r="AM112" s="3"/>
      <c r="AN112" s="3"/>
      <c r="AO112" s="3"/>
      <c r="AP112" s="3"/>
      <c r="AQ112" s="3"/>
      <c r="AR112" s="3"/>
    </row>
    <row r="113" spans="1:44" ht="15.75" customHeight="1">
      <c r="A113" s="3"/>
      <c r="B113" s="800"/>
      <c r="C113" s="20"/>
      <c r="D113" s="57"/>
      <c r="E113" s="57"/>
      <c r="F113" s="57"/>
      <c r="G113" s="170" t="s">
        <v>385</v>
      </c>
      <c r="H113" s="57">
        <v>0.2</v>
      </c>
      <c r="I113" s="63">
        <f>'3 - Ecology'!E22</f>
        <v>0</v>
      </c>
      <c r="J113" s="178">
        <f t="shared" si="15"/>
        <v>0</v>
      </c>
      <c r="K113" s="178">
        <f t="shared" si="14"/>
        <v>0</v>
      </c>
      <c r="L113" s="57"/>
      <c r="M113" s="20"/>
      <c r="N113" s="71" t="s">
        <v>546</v>
      </c>
      <c r="O113" s="18">
        <v>0.8</v>
      </c>
      <c r="P113" s="19" t="s">
        <v>547</v>
      </c>
      <c r="Q113" s="19" t="s">
        <v>548</v>
      </c>
      <c r="R113" s="19"/>
      <c r="S113" s="20"/>
      <c r="T113" s="810"/>
      <c r="U113" s="811"/>
      <c r="V113" s="811"/>
      <c r="W113" s="812"/>
      <c r="X113" s="3"/>
      <c r="Y113" s="3"/>
      <c r="Z113" s="3"/>
      <c r="AA113" s="3"/>
      <c r="AB113" s="3"/>
      <c r="AC113" s="3"/>
      <c r="AD113" s="3"/>
      <c r="AE113" s="3"/>
      <c r="AF113" s="3"/>
      <c r="AG113" s="3"/>
      <c r="AH113" s="3"/>
      <c r="AI113" s="3"/>
      <c r="AJ113" s="3"/>
      <c r="AK113" s="3"/>
      <c r="AL113" s="3"/>
      <c r="AM113" s="3"/>
      <c r="AN113" s="3"/>
      <c r="AO113" s="3"/>
      <c r="AP113" s="3"/>
      <c r="AQ113" s="3"/>
      <c r="AR113" s="3"/>
    </row>
    <row r="114" spans="1:44" ht="15.75" customHeight="1">
      <c r="A114" s="3"/>
      <c r="B114" s="800"/>
      <c r="C114" s="20"/>
      <c r="D114" s="57"/>
      <c r="E114" s="57"/>
      <c r="F114" s="57"/>
      <c r="G114" s="170" t="s">
        <v>551</v>
      </c>
      <c r="H114" s="57">
        <v>0.05</v>
      </c>
      <c r="I114" s="63">
        <f>'3 - Ecology'!E21</f>
        <v>1362</v>
      </c>
      <c r="J114" s="178">
        <f t="shared" si="15"/>
        <v>408.59999999999997</v>
      </c>
      <c r="K114" s="178">
        <f t="shared" si="14"/>
        <v>20.43</v>
      </c>
      <c r="L114" s="57"/>
      <c r="M114" s="20"/>
      <c r="N114" s="71" t="s">
        <v>553</v>
      </c>
      <c r="O114" s="18">
        <v>2.2000000000000002</v>
      </c>
      <c r="P114" s="19" t="s">
        <v>385</v>
      </c>
      <c r="Q114" s="19" t="s">
        <v>554</v>
      </c>
      <c r="R114" s="19"/>
      <c r="S114" s="20"/>
      <c r="T114" s="19"/>
      <c r="U114" s="19"/>
      <c r="V114" s="19"/>
      <c r="W114" s="19"/>
      <c r="X114" s="3"/>
      <c r="Y114" s="3"/>
      <c r="Z114" s="3"/>
      <c r="AA114" s="3"/>
      <c r="AB114" s="3"/>
      <c r="AC114" s="3"/>
      <c r="AD114" s="3"/>
      <c r="AE114" s="3"/>
      <c r="AF114" s="3"/>
      <c r="AG114" s="3"/>
      <c r="AH114" s="3"/>
      <c r="AI114" s="3"/>
      <c r="AJ114" s="3"/>
      <c r="AK114" s="3"/>
      <c r="AL114" s="3"/>
      <c r="AM114" s="3"/>
      <c r="AN114" s="3"/>
      <c r="AO114" s="3"/>
      <c r="AP114" s="3"/>
      <c r="AQ114" s="3"/>
      <c r="AR114" s="3"/>
    </row>
    <row r="115" spans="1:44" ht="15.75" customHeight="1">
      <c r="A115" s="3"/>
      <c r="B115" s="800"/>
      <c r="C115" s="20"/>
      <c r="D115" s="57"/>
      <c r="E115" s="57"/>
      <c r="F115" s="57"/>
      <c r="G115" s="170" t="s">
        <v>555</v>
      </c>
      <c r="H115" s="57">
        <v>0.5</v>
      </c>
      <c r="I115" s="63">
        <f>'3 - Ecology'!E11-('4 - Water'!I111+'4 - Water'!I112+'4 - Water'!I113+'4 - Water'!I114)</f>
        <v>500</v>
      </c>
      <c r="J115" s="178">
        <f t="shared" si="15"/>
        <v>150</v>
      </c>
      <c r="K115" s="178">
        <f t="shared" si="14"/>
        <v>75</v>
      </c>
      <c r="L115" s="57"/>
      <c r="M115" s="20"/>
      <c r="N115" s="71" t="s">
        <v>556</v>
      </c>
      <c r="O115" s="18">
        <v>3.8</v>
      </c>
      <c r="P115" s="19" t="s">
        <v>413</v>
      </c>
      <c r="Q115" s="19" t="s">
        <v>557</v>
      </c>
      <c r="R115" s="19"/>
      <c r="S115" s="20"/>
      <c r="T115" s="19"/>
      <c r="U115" s="19"/>
      <c r="V115" s="19"/>
      <c r="W115" s="19"/>
      <c r="X115" s="3"/>
      <c r="Y115" s="3"/>
      <c r="Z115" s="3"/>
      <c r="AA115" s="3"/>
      <c r="AB115" s="3"/>
      <c r="AC115" s="3"/>
      <c r="AD115" s="3"/>
      <c r="AE115" s="3"/>
      <c r="AF115" s="3"/>
      <c r="AG115" s="3"/>
      <c r="AH115" s="3"/>
      <c r="AI115" s="3"/>
      <c r="AJ115" s="3"/>
      <c r="AK115" s="3"/>
      <c r="AL115" s="3"/>
      <c r="AM115" s="3"/>
      <c r="AN115" s="3"/>
      <c r="AO115" s="3"/>
      <c r="AP115" s="3"/>
      <c r="AQ115" s="3"/>
      <c r="AR115" s="3"/>
    </row>
    <row r="116" spans="1:44" ht="15.75" customHeight="1">
      <c r="A116" s="3"/>
      <c r="B116" s="800"/>
      <c r="C116" s="20"/>
      <c r="D116" s="57"/>
      <c r="E116" s="57"/>
      <c r="F116" s="57"/>
      <c r="G116" s="181" t="s">
        <v>558</v>
      </c>
      <c r="H116" s="183"/>
      <c r="I116" s="451">
        <f t="shared" ref="I116:K116" si="16">SUM(I111:I115)</f>
        <v>27262</v>
      </c>
      <c r="J116" s="184">
        <f t="shared" si="16"/>
        <v>8178.6</v>
      </c>
      <c r="K116" s="184">
        <f t="shared" si="16"/>
        <v>6953.43</v>
      </c>
      <c r="L116" s="57"/>
      <c r="M116" s="20"/>
      <c r="N116" s="71" t="s">
        <v>568</v>
      </c>
      <c r="O116" s="18">
        <v>5.4</v>
      </c>
      <c r="P116" s="19" t="s">
        <v>570</v>
      </c>
      <c r="Q116" s="19" t="s">
        <v>557</v>
      </c>
      <c r="R116" s="19"/>
      <c r="S116" s="20"/>
      <c r="T116" s="19"/>
      <c r="U116" s="19"/>
      <c r="V116" s="19"/>
      <c r="W116" s="19"/>
      <c r="X116" s="3"/>
      <c r="Y116" s="3"/>
      <c r="Z116" s="3"/>
      <c r="AA116" s="3"/>
      <c r="AB116" s="3"/>
      <c r="AC116" s="3"/>
      <c r="AD116" s="3"/>
      <c r="AE116" s="3"/>
      <c r="AF116" s="3"/>
      <c r="AG116" s="3"/>
      <c r="AH116" s="3"/>
      <c r="AI116" s="3"/>
      <c r="AJ116" s="3"/>
      <c r="AK116" s="3"/>
      <c r="AL116" s="3"/>
      <c r="AM116" s="3"/>
      <c r="AN116" s="3"/>
      <c r="AO116" s="3"/>
      <c r="AP116" s="3"/>
      <c r="AQ116" s="3"/>
      <c r="AR116" s="3"/>
    </row>
    <row r="117" spans="1:44" ht="15.75" customHeight="1" thickBot="1">
      <c r="A117" s="3"/>
      <c r="B117" s="800"/>
      <c r="C117" s="20"/>
      <c r="D117" s="170"/>
      <c r="E117" s="170"/>
      <c r="F117" s="170"/>
      <c r="G117" s="185" t="s">
        <v>573</v>
      </c>
      <c r="H117" s="183"/>
      <c r="I117" s="183"/>
      <c r="J117" s="183"/>
      <c r="K117" s="184">
        <f>IF((K116-H108)&gt;0,(K116-H108),0)</f>
        <v>6926.43</v>
      </c>
      <c r="L117" s="57"/>
      <c r="M117" s="20"/>
      <c r="N117" s="71" t="s">
        <v>585</v>
      </c>
      <c r="O117" s="18">
        <v>3.4</v>
      </c>
      <c r="P117" s="19" t="s">
        <v>587</v>
      </c>
      <c r="Q117" s="19" t="s">
        <v>588</v>
      </c>
      <c r="R117" s="19"/>
      <c r="S117" s="20"/>
      <c r="T117" s="19"/>
      <c r="U117" s="19"/>
      <c r="V117" s="19"/>
      <c r="W117" s="19"/>
      <c r="X117" s="3"/>
      <c r="Y117" s="3"/>
      <c r="Z117" s="3"/>
      <c r="AA117" s="3"/>
      <c r="AB117" s="3"/>
      <c r="AC117" s="3"/>
      <c r="AD117" s="3"/>
      <c r="AE117" s="3"/>
      <c r="AF117" s="3"/>
      <c r="AG117" s="3"/>
      <c r="AH117" s="3"/>
      <c r="AI117" s="3"/>
      <c r="AJ117" s="3"/>
      <c r="AK117" s="3"/>
      <c r="AL117" s="3"/>
      <c r="AM117" s="3"/>
      <c r="AN117" s="3"/>
      <c r="AO117" s="3"/>
      <c r="AP117" s="3"/>
      <c r="AQ117" s="3"/>
      <c r="AR117" s="3"/>
    </row>
    <row r="118" spans="1:44" ht="15.75" customHeight="1" thickBot="1">
      <c r="A118" s="3"/>
      <c r="B118" s="800"/>
      <c r="C118" s="20"/>
      <c r="D118" s="138"/>
      <c r="E118" s="138"/>
      <c r="F118" s="138"/>
      <c r="G118" s="138" t="s">
        <v>590</v>
      </c>
      <c r="H118" s="186">
        <f>1-(K117/J116)</f>
        <v>0.15310322060010273</v>
      </c>
      <c r="I118" s="57"/>
      <c r="J118" s="57"/>
      <c r="K118" s="57"/>
      <c r="L118" s="57"/>
      <c r="M118" s="20"/>
      <c r="N118" s="71" t="s">
        <v>595</v>
      </c>
      <c r="O118" s="18">
        <v>3</v>
      </c>
      <c r="P118" s="19" t="s">
        <v>596</v>
      </c>
      <c r="Q118" s="19" t="s">
        <v>557</v>
      </c>
      <c r="R118" s="19"/>
      <c r="S118" s="20"/>
      <c r="T118" s="19"/>
      <c r="U118" s="19"/>
      <c r="V118" s="19"/>
      <c r="W118" s="19"/>
      <c r="X118" s="3"/>
      <c r="Y118" s="3"/>
      <c r="Z118" s="3"/>
      <c r="AA118" s="3"/>
      <c r="AB118" s="3"/>
      <c r="AC118" s="3"/>
      <c r="AD118" s="3"/>
      <c r="AE118" s="3"/>
      <c r="AF118" s="3"/>
      <c r="AG118" s="3"/>
      <c r="AH118" s="3"/>
      <c r="AI118" s="3"/>
      <c r="AJ118" s="3"/>
      <c r="AK118" s="3"/>
      <c r="AL118" s="3"/>
      <c r="AM118" s="3"/>
      <c r="AN118" s="3"/>
      <c r="AO118" s="3"/>
      <c r="AP118" s="3"/>
      <c r="AQ118" s="3"/>
      <c r="AR118" s="3"/>
    </row>
    <row r="119" spans="1:44" ht="15.75" customHeight="1">
      <c r="A119" s="3"/>
      <c r="B119" s="801"/>
      <c r="C119" s="20"/>
      <c r="D119" s="57"/>
      <c r="E119" s="57"/>
      <c r="F119" s="57"/>
      <c r="G119" s="57"/>
      <c r="H119" s="57"/>
      <c r="I119" s="57"/>
      <c r="J119" s="57"/>
      <c r="K119" s="57"/>
      <c r="L119" s="57"/>
      <c r="M119" s="20"/>
      <c r="N119" s="66"/>
      <c r="O119" s="66"/>
      <c r="P119" s="66"/>
      <c r="Q119" s="66"/>
      <c r="R119" s="19"/>
      <c r="S119" s="20"/>
      <c r="T119" s="19"/>
      <c r="U119" s="19"/>
      <c r="V119" s="19"/>
      <c r="W119" s="19"/>
      <c r="X119" s="3"/>
      <c r="Y119" s="3"/>
      <c r="Z119" s="3"/>
      <c r="AA119" s="3"/>
      <c r="AB119" s="3"/>
      <c r="AC119" s="3"/>
      <c r="AD119" s="3"/>
      <c r="AE119" s="3"/>
      <c r="AF119" s="3"/>
      <c r="AG119" s="3"/>
      <c r="AH119" s="3"/>
      <c r="AI119" s="3"/>
      <c r="AJ119" s="3"/>
      <c r="AK119" s="3"/>
      <c r="AL119" s="3"/>
      <c r="AM119" s="3"/>
      <c r="AN119" s="3"/>
      <c r="AO119" s="3"/>
      <c r="AP119" s="3"/>
      <c r="AQ119" s="3"/>
      <c r="AR119" s="3"/>
    </row>
    <row r="120" spans="1:44" ht="15.75" customHeight="1">
      <c r="A120" s="3"/>
      <c r="B120" s="20"/>
      <c r="C120" s="20"/>
      <c r="D120" s="20"/>
      <c r="E120" s="20"/>
      <c r="F120" s="20"/>
      <c r="G120" s="20"/>
      <c r="H120" s="20"/>
      <c r="I120" s="20"/>
      <c r="J120" s="20"/>
      <c r="K120" s="20"/>
      <c r="L120" s="20"/>
      <c r="M120" s="20"/>
      <c r="N120" s="20"/>
      <c r="O120" s="20"/>
      <c r="P120" s="20"/>
      <c r="Q120" s="20"/>
      <c r="R120" s="20"/>
      <c r="S120" s="20"/>
      <c r="T120" s="20"/>
      <c r="U120" s="20"/>
      <c r="V120" s="20"/>
      <c r="W120" s="20"/>
      <c r="X120" s="3"/>
      <c r="Y120" s="3"/>
      <c r="Z120" s="3"/>
      <c r="AA120" s="3"/>
      <c r="AB120" s="3"/>
      <c r="AC120" s="3"/>
      <c r="AD120" s="3"/>
      <c r="AE120" s="3"/>
      <c r="AF120" s="3"/>
      <c r="AG120" s="3"/>
      <c r="AH120" s="3"/>
      <c r="AI120" s="3"/>
      <c r="AJ120" s="3"/>
      <c r="AK120" s="3"/>
      <c r="AL120" s="3"/>
      <c r="AM120" s="3"/>
      <c r="AN120" s="3"/>
      <c r="AO120" s="3"/>
      <c r="AP120" s="3"/>
      <c r="AQ120" s="3"/>
      <c r="AR120" s="3"/>
    </row>
    <row r="121" spans="1:44" ht="15.75" customHeight="1">
      <c r="A121" s="3"/>
      <c r="B121" s="799" t="s">
        <v>598</v>
      </c>
      <c r="C121" s="20"/>
      <c r="D121" s="846" t="s">
        <v>1040</v>
      </c>
      <c r="E121" s="719"/>
      <c r="F121" s="719"/>
      <c r="G121" s="720"/>
      <c r="H121" s="26"/>
      <c r="I121" s="26"/>
      <c r="J121" s="26"/>
      <c r="K121" s="26"/>
      <c r="L121" s="26"/>
      <c r="M121" s="20"/>
      <c r="N121" s="88">
        <v>1</v>
      </c>
      <c r="O121" s="19" t="s">
        <v>35</v>
      </c>
      <c r="P121" s="66"/>
      <c r="Q121" s="66"/>
      <c r="R121" s="19"/>
      <c r="S121" s="20"/>
      <c r="T121" s="20"/>
      <c r="U121" s="20"/>
      <c r="V121" s="20"/>
      <c r="W121" s="20"/>
      <c r="X121" s="3"/>
      <c r="Y121" s="3"/>
      <c r="Z121" s="3"/>
      <c r="AA121" s="3"/>
      <c r="AB121" s="3"/>
      <c r="AC121" s="3"/>
      <c r="AD121" s="3"/>
      <c r="AE121" s="3"/>
      <c r="AF121" s="3"/>
      <c r="AG121" s="3"/>
      <c r="AH121" s="3"/>
      <c r="AI121" s="3"/>
      <c r="AJ121" s="3"/>
      <c r="AK121" s="3"/>
      <c r="AL121" s="3"/>
      <c r="AM121" s="3"/>
      <c r="AN121" s="3"/>
      <c r="AO121" s="3"/>
      <c r="AP121" s="3"/>
      <c r="AQ121" s="3"/>
      <c r="AR121" s="3"/>
    </row>
    <row r="122" spans="1:44" ht="15.75" customHeight="1">
      <c r="A122" s="3"/>
      <c r="B122" s="800"/>
      <c r="C122" s="20"/>
      <c r="D122" s="57"/>
      <c r="E122" s="57"/>
      <c r="F122" s="57"/>
      <c r="G122" s="57"/>
      <c r="H122" s="57"/>
      <c r="I122" s="57"/>
      <c r="J122" s="57"/>
      <c r="K122" s="57"/>
      <c r="L122" s="57"/>
      <c r="M122" s="20"/>
      <c r="N122" s="88">
        <v>2</v>
      </c>
      <c r="O122" s="19" t="s">
        <v>41</v>
      </c>
      <c r="P122" s="66"/>
      <c r="Q122" s="66"/>
      <c r="R122" s="19"/>
      <c r="S122" s="20"/>
      <c r="T122" s="20"/>
      <c r="U122" s="20"/>
      <c r="V122" s="20"/>
      <c r="W122" s="20"/>
      <c r="X122" s="3"/>
      <c r="Y122" s="3"/>
      <c r="Z122" s="3"/>
      <c r="AA122" s="3"/>
      <c r="AB122" s="3"/>
      <c r="AC122" s="3"/>
      <c r="AD122" s="3"/>
      <c r="AE122" s="3"/>
      <c r="AF122" s="3"/>
      <c r="AG122" s="3"/>
      <c r="AH122" s="3"/>
      <c r="AI122" s="3"/>
      <c r="AJ122" s="3"/>
      <c r="AK122" s="3"/>
      <c r="AL122" s="3"/>
      <c r="AM122" s="3"/>
      <c r="AN122" s="3"/>
      <c r="AO122" s="3"/>
      <c r="AP122" s="3"/>
      <c r="AQ122" s="3"/>
      <c r="AR122" s="3"/>
    </row>
    <row r="123" spans="1:44" ht="15.75" customHeight="1">
      <c r="A123" s="3"/>
      <c r="B123" s="800"/>
      <c r="C123" s="20"/>
      <c r="D123" s="845" t="s">
        <v>601</v>
      </c>
      <c r="E123" s="719"/>
      <c r="F123" s="719"/>
      <c r="G123" s="720"/>
      <c r="H123" s="842" t="s">
        <v>1110</v>
      </c>
      <c r="I123" s="843"/>
      <c r="J123" s="843"/>
      <c r="K123" s="844"/>
      <c r="L123" s="57"/>
      <c r="M123" s="20"/>
      <c r="N123" s="88">
        <v>3</v>
      </c>
      <c r="O123" s="19" t="s">
        <v>104</v>
      </c>
      <c r="P123" s="66"/>
      <c r="Q123" s="66"/>
      <c r="R123" s="19"/>
      <c r="S123" s="20"/>
      <c r="T123" s="20"/>
      <c r="U123" s="20"/>
      <c r="V123" s="20"/>
      <c r="W123" s="20"/>
      <c r="X123" s="3"/>
      <c r="Y123" s="3"/>
      <c r="Z123" s="3"/>
      <c r="AA123" s="3"/>
      <c r="AB123" s="3"/>
      <c r="AC123" s="3"/>
      <c r="AD123" s="3"/>
      <c r="AE123" s="3"/>
      <c r="AF123" s="3"/>
      <c r="AG123" s="3"/>
      <c r="AH123" s="3"/>
      <c r="AI123" s="3"/>
      <c r="AJ123" s="3"/>
      <c r="AK123" s="3"/>
      <c r="AL123" s="3"/>
      <c r="AM123" s="3"/>
      <c r="AN123" s="3"/>
      <c r="AO123" s="3"/>
      <c r="AP123" s="3"/>
      <c r="AQ123" s="3"/>
      <c r="AR123" s="3"/>
    </row>
    <row r="124" spans="1:44" ht="15.75" customHeight="1" thickBot="1">
      <c r="A124" s="3"/>
      <c r="B124" s="800"/>
      <c r="C124" s="20"/>
      <c r="D124" s="845" t="s">
        <v>611</v>
      </c>
      <c r="E124" s="719"/>
      <c r="F124" s="719"/>
      <c r="G124" s="720"/>
      <c r="H124" s="188">
        <f>_xlfn.IFS(H123="Runoff mostly from parking areas",1,H123="Runoff mostly from hardscape",2,H123="Runoff mostly from vegetated area",3,H123="Runoff mostly from natural filtration (bio-swales or retention ponds)",4,H123="Runoff is mechanically filtered and released",5)</f>
        <v>3</v>
      </c>
      <c r="I124" s="57"/>
      <c r="J124" s="57"/>
      <c r="K124" s="57"/>
      <c r="L124" s="57"/>
      <c r="M124" s="20"/>
      <c r="N124" s="88">
        <v>4</v>
      </c>
      <c r="O124" s="19" t="s">
        <v>108</v>
      </c>
      <c r="P124" s="66"/>
      <c r="Q124" s="66"/>
      <c r="R124" s="19"/>
      <c r="S124" s="20"/>
      <c r="T124" s="20"/>
      <c r="U124" s="20"/>
      <c r="V124" s="20"/>
      <c r="W124" s="20"/>
      <c r="X124" s="3"/>
      <c r="Y124" s="3"/>
      <c r="Z124" s="3"/>
      <c r="AA124" s="3"/>
      <c r="AB124" s="3"/>
      <c r="AC124" s="3"/>
      <c r="AD124" s="3"/>
      <c r="AE124" s="3"/>
      <c r="AF124" s="3"/>
      <c r="AG124" s="3"/>
      <c r="AH124" s="3"/>
      <c r="AI124" s="3"/>
      <c r="AJ124" s="3"/>
      <c r="AK124" s="3"/>
      <c r="AL124" s="3"/>
      <c r="AM124" s="3"/>
      <c r="AN124" s="3"/>
      <c r="AO124" s="3"/>
      <c r="AP124" s="3"/>
      <c r="AQ124" s="3"/>
      <c r="AR124" s="3"/>
    </row>
    <row r="125" spans="1:44" ht="15.75" customHeight="1">
      <c r="A125" s="3"/>
      <c r="B125" s="801"/>
      <c r="C125" s="20"/>
      <c r="D125" s="57"/>
      <c r="E125" s="57"/>
      <c r="F125" s="57"/>
      <c r="G125" s="57"/>
      <c r="H125" s="57"/>
      <c r="I125" s="57"/>
      <c r="J125" s="57"/>
      <c r="K125" s="57"/>
      <c r="L125" s="57"/>
      <c r="M125" s="20"/>
      <c r="N125" s="88">
        <v>5</v>
      </c>
      <c r="O125" s="19" t="s">
        <v>115</v>
      </c>
      <c r="P125" s="66"/>
      <c r="Q125" s="66"/>
      <c r="R125" s="19"/>
      <c r="S125" s="20"/>
      <c r="T125" s="20"/>
      <c r="U125" s="20"/>
      <c r="V125" s="20"/>
      <c r="W125" s="20"/>
      <c r="X125" s="3"/>
      <c r="Y125" s="3"/>
      <c r="Z125" s="3"/>
      <c r="AA125" s="3"/>
      <c r="AB125" s="3"/>
      <c r="AC125" s="3"/>
      <c r="AD125" s="3"/>
      <c r="AE125" s="3"/>
      <c r="AF125" s="3"/>
      <c r="AG125" s="3"/>
      <c r="AH125" s="3"/>
      <c r="AI125" s="3"/>
      <c r="AJ125" s="3"/>
      <c r="AK125" s="3"/>
      <c r="AL125" s="3"/>
      <c r="AM125" s="3"/>
      <c r="AN125" s="3"/>
      <c r="AO125" s="3"/>
      <c r="AP125" s="3"/>
      <c r="AQ125" s="3"/>
      <c r="AR125" s="3"/>
    </row>
    <row r="126" spans="1:44"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row>
    <row r="127" spans="1:44"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row>
    <row r="128" spans="1:44"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row>
    <row r="129" spans="1:44"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row>
    <row r="130" spans="1:44"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row>
    <row r="131" spans="1:44"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row>
    <row r="132" spans="1:44"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row>
    <row r="133" spans="1:44"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row>
    <row r="134" spans="1:44"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row>
    <row r="135" spans="1:44"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row>
    <row r="136" spans="1:44"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row>
    <row r="137" spans="1:44"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row>
    <row r="138" spans="1:44"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row>
    <row r="139" spans="1:44"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row>
    <row r="140" spans="1:44"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row>
    <row r="141" spans="1:44"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row>
    <row r="142" spans="1:44"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row>
    <row r="143" spans="1:44"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row>
    <row r="144" spans="1:44"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row>
    <row r="145" spans="1:44"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row>
    <row r="146" spans="1:44"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row>
    <row r="147" spans="1:44"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row>
    <row r="148" spans="1:44"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row>
    <row r="149" spans="1:44"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row>
    <row r="150" spans="1:44"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row>
    <row r="151" spans="1:44"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row>
    <row r="152" spans="1:44"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row>
    <row r="153" spans="1:44"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row>
    <row r="154" spans="1:44"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row>
    <row r="155" spans="1:44"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row>
    <row r="156" spans="1:44"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row>
    <row r="157" spans="1:44"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row>
    <row r="158" spans="1:44"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row>
    <row r="159" spans="1:44"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row>
    <row r="160" spans="1:44"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row>
    <row r="161" spans="1:44"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row>
    <row r="162" spans="1:44"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row>
    <row r="163" spans="1:44"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row>
    <row r="164" spans="1:44"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row>
    <row r="165" spans="1:44"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row>
    <row r="166" spans="1:44"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row>
    <row r="167" spans="1:44"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row>
    <row r="168" spans="1:44"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row>
    <row r="169" spans="1:44"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row>
    <row r="170" spans="1:44"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row>
    <row r="171" spans="1:44"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row>
    <row r="172" spans="1:44"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row>
    <row r="173" spans="1:44"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row>
    <row r="174" spans="1:44"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row>
    <row r="175" spans="1:44"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row>
    <row r="176" spans="1:44"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row>
    <row r="177" spans="1:44"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row>
    <row r="178" spans="1:44"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row>
    <row r="179" spans="1:44"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row>
    <row r="180" spans="1:44"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row>
    <row r="181" spans="1:44"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row>
    <row r="182" spans="1:44"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row>
    <row r="183" spans="1:44"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row>
    <row r="184" spans="1:44"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row>
    <row r="185" spans="1:44"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row>
    <row r="186" spans="1:44"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row>
    <row r="187" spans="1:44"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row>
    <row r="188" spans="1:44"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row>
    <row r="189" spans="1:44"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row>
    <row r="190" spans="1:44"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row>
    <row r="191" spans="1:44"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row>
    <row r="192" spans="1:44"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row>
    <row r="193" spans="1:44"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row>
    <row r="194" spans="1:44"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row>
    <row r="195" spans="1:44"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row>
    <row r="196" spans="1:44"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row>
    <row r="197" spans="1:44"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row>
    <row r="198" spans="1:44"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row>
    <row r="199" spans="1:44"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row>
    <row r="200" spans="1:44"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row>
    <row r="201" spans="1:44"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row>
    <row r="202" spans="1:44"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row>
    <row r="203" spans="1:44"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row>
    <row r="204" spans="1:44"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row>
    <row r="205" spans="1:44"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row>
    <row r="206" spans="1:44"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row>
    <row r="207" spans="1:44"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row>
    <row r="208" spans="1:44"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row>
    <row r="209" spans="1:44"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row>
    <row r="210" spans="1:44"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row>
    <row r="211" spans="1:44"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row>
    <row r="212" spans="1:44"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row>
    <row r="213" spans="1:44"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row>
    <row r="214" spans="1:44"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row>
    <row r="215" spans="1:44"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row>
    <row r="216" spans="1:44"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row>
    <row r="217" spans="1:44"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row>
    <row r="218" spans="1:44"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row>
    <row r="219" spans="1:44"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row>
    <row r="220" spans="1:44"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row>
    <row r="221" spans="1:44" ht="15.75" customHeight="1">
      <c r="A221" s="131"/>
      <c r="B221" s="131"/>
      <c r="C221" s="131"/>
    </row>
    <row r="222" spans="1:44" ht="15.75" customHeight="1">
      <c r="A222" s="131"/>
      <c r="B222" s="131"/>
      <c r="C222" s="131"/>
    </row>
    <row r="223" spans="1:44" ht="15.75" customHeight="1">
      <c r="A223" s="131"/>
      <c r="B223" s="131"/>
      <c r="C223" s="131"/>
    </row>
    <row r="224" spans="1:44" ht="15.75" customHeight="1">
      <c r="A224" s="131"/>
      <c r="B224" s="131"/>
      <c r="C224" s="131"/>
    </row>
    <row r="225" spans="1:3" ht="15.75" customHeight="1">
      <c r="A225" s="131"/>
      <c r="B225" s="131"/>
      <c r="C225" s="131"/>
    </row>
    <row r="226" spans="1:3" ht="15.75" customHeight="1">
      <c r="A226" s="131"/>
      <c r="B226" s="131"/>
      <c r="C226" s="131"/>
    </row>
    <row r="227" spans="1:3" ht="15.75" customHeight="1">
      <c r="A227" s="131"/>
      <c r="B227" s="131"/>
      <c r="C227" s="131"/>
    </row>
    <row r="228" spans="1:3" ht="15.75" customHeight="1">
      <c r="A228" s="131"/>
      <c r="B228" s="131"/>
      <c r="C228" s="131"/>
    </row>
    <row r="229" spans="1:3" ht="15.75" customHeight="1">
      <c r="A229" s="131"/>
      <c r="B229" s="131"/>
      <c r="C229" s="131"/>
    </row>
    <row r="230" spans="1:3" ht="15.75" customHeight="1">
      <c r="A230" s="131"/>
      <c r="B230" s="131"/>
      <c r="C230" s="131"/>
    </row>
    <row r="231" spans="1:3" ht="15.75" customHeight="1">
      <c r="A231" s="131"/>
      <c r="B231" s="131"/>
      <c r="C231" s="131"/>
    </row>
    <row r="232" spans="1:3" ht="15.75" customHeight="1">
      <c r="A232" s="131"/>
      <c r="B232" s="131"/>
      <c r="C232" s="131"/>
    </row>
    <row r="233" spans="1:3" ht="15.75" customHeight="1">
      <c r="A233" s="131"/>
      <c r="B233" s="131"/>
      <c r="C233" s="131"/>
    </row>
    <row r="234" spans="1:3" ht="15.75" customHeight="1">
      <c r="A234" s="131"/>
      <c r="B234" s="131"/>
      <c r="C234" s="131"/>
    </row>
    <row r="235" spans="1:3" ht="15.75" customHeight="1">
      <c r="A235" s="131"/>
      <c r="B235" s="131"/>
      <c r="C235" s="131"/>
    </row>
    <row r="236" spans="1:3" ht="15.75" customHeight="1">
      <c r="A236" s="131"/>
      <c r="B236" s="131"/>
      <c r="C236" s="131"/>
    </row>
    <row r="237" spans="1:3" ht="15.75" customHeight="1">
      <c r="A237" s="131"/>
      <c r="B237" s="131"/>
      <c r="C237" s="131"/>
    </row>
    <row r="238" spans="1:3" ht="15.75" customHeight="1">
      <c r="A238" s="131"/>
      <c r="B238" s="131"/>
      <c r="C238" s="131"/>
    </row>
    <row r="239" spans="1:3" ht="15.75" customHeight="1">
      <c r="A239" s="131"/>
      <c r="B239" s="131"/>
      <c r="C239" s="131"/>
    </row>
    <row r="240" spans="1:3" ht="15.75" customHeight="1">
      <c r="A240" s="131"/>
      <c r="B240" s="131"/>
      <c r="C240" s="131"/>
    </row>
    <row r="241" spans="1:3" ht="15.75" customHeight="1">
      <c r="A241" s="131"/>
      <c r="B241" s="131"/>
      <c r="C241" s="131"/>
    </row>
    <row r="242" spans="1:3" ht="15.75" customHeight="1">
      <c r="A242" s="131"/>
      <c r="B242" s="131"/>
      <c r="C242" s="131"/>
    </row>
    <row r="243" spans="1:3" ht="15.75" customHeight="1">
      <c r="A243" s="131"/>
      <c r="B243" s="131"/>
      <c r="C243" s="131"/>
    </row>
    <row r="244" spans="1:3" ht="15.75" customHeight="1">
      <c r="A244" s="131"/>
      <c r="B244" s="131"/>
      <c r="C244" s="131"/>
    </row>
    <row r="245" spans="1:3" ht="15.75" customHeight="1">
      <c r="A245" s="131"/>
      <c r="B245" s="131"/>
      <c r="C245" s="131"/>
    </row>
    <row r="246" spans="1:3" ht="15.75" customHeight="1">
      <c r="A246" s="131"/>
      <c r="B246" s="131"/>
      <c r="C246" s="131"/>
    </row>
    <row r="247" spans="1:3" ht="15.75" customHeight="1">
      <c r="A247" s="131"/>
      <c r="B247" s="131"/>
      <c r="C247" s="131"/>
    </row>
    <row r="248" spans="1:3" ht="15.75" customHeight="1">
      <c r="A248" s="131"/>
      <c r="B248" s="131"/>
      <c r="C248" s="131"/>
    </row>
    <row r="249" spans="1:3" ht="15.75" customHeight="1">
      <c r="A249" s="131"/>
      <c r="B249" s="131"/>
      <c r="C249" s="131"/>
    </row>
    <row r="250" spans="1:3" ht="15.75" customHeight="1">
      <c r="A250" s="131"/>
      <c r="B250" s="131"/>
      <c r="C250" s="131"/>
    </row>
    <row r="251" spans="1:3" ht="15.75" customHeight="1">
      <c r="A251" s="131"/>
      <c r="B251" s="131"/>
      <c r="C251" s="131"/>
    </row>
    <row r="252" spans="1:3" ht="15.75" customHeight="1">
      <c r="A252" s="131"/>
      <c r="B252" s="131"/>
      <c r="C252" s="131"/>
    </row>
    <row r="253" spans="1:3" ht="15.75" customHeight="1">
      <c r="A253" s="131"/>
      <c r="B253" s="131"/>
      <c r="C253" s="131"/>
    </row>
    <row r="254" spans="1:3" ht="15.75" customHeight="1">
      <c r="A254" s="131"/>
      <c r="B254" s="131"/>
      <c r="C254" s="131"/>
    </row>
    <row r="255" spans="1:3" ht="15.75" customHeight="1">
      <c r="A255" s="131"/>
      <c r="B255" s="131"/>
      <c r="C255" s="131"/>
    </row>
    <row r="256" spans="1:3" ht="15.75" customHeight="1">
      <c r="A256" s="131"/>
      <c r="B256" s="131"/>
      <c r="C256" s="131"/>
    </row>
    <row r="257" spans="1:3" ht="15.75" customHeight="1">
      <c r="A257" s="131"/>
      <c r="B257" s="131"/>
      <c r="C257" s="131"/>
    </row>
    <row r="258" spans="1:3" ht="15.75" customHeight="1">
      <c r="A258" s="131"/>
      <c r="B258" s="131"/>
      <c r="C258" s="131"/>
    </row>
    <row r="259" spans="1:3" ht="15.75" customHeight="1">
      <c r="A259" s="131"/>
      <c r="B259" s="131"/>
      <c r="C259" s="131"/>
    </row>
    <row r="260" spans="1:3" ht="15.75" customHeight="1">
      <c r="A260" s="131"/>
      <c r="B260" s="131"/>
      <c r="C260" s="131"/>
    </row>
    <row r="261" spans="1:3" ht="15.75" customHeight="1">
      <c r="A261" s="131"/>
      <c r="B261" s="131"/>
      <c r="C261" s="131"/>
    </row>
    <row r="262" spans="1:3" ht="15.75" customHeight="1">
      <c r="A262" s="131"/>
      <c r="B262" s="131"/>
      <c r="C262" s="131"/>
    </row>
    <row r="263" spans="1:3" ht="15.75" customHeight="1">
      <c r="A263" s="131"/>
      <c r="B263" s="131"/>
      <c r="C263" s="131"/>
    </row>
    <row r="264" spans="1:3" ht="15.75" customHeight="1">
      <c r="A264" s="131"/>
      <c r="B264" s="131"/>
      <c r="C264" s="131"/>
    </row>
    <row r="265" spans="1:3" ht="15.75" customHeight="1">
      <c r="A265" s="131"/>
      <c r="B265" s="131"/>
      <c r="C265" s="131"/>
    </row>
    <row r="266" spans="1:3" ht="15.75" customHeight="1">
      <c r="A266" s="131"/>
      <c r="B266" s="131"/>
      <c r="C266" s="131"/>
    </row>
    <row r="267" spans="1:3" ht="15.75" customHeight="1">
      <c r="A267" s="131"/>
      <c r="B267" s="131"/>
      <c r="C267" s="131"/>
    </row>
    <row r="268" spans="1:3" ht="15.75" customHeight="1">
      <c r="A268" s="131"/>
      <c r="B268" s="131"/>
      <c r="C268" s="131"/>
    </row>
    <row r="269" spans="1:3" ht="15.75" customHeight="1">
      <c r="A269" s="131"/>
      <c r="B269" s="131"/>
      <c r="C269" s="131"/>
    </row>
    <row r="270" spans="1:3" ht="15.75" customHeight="1">
      <c r="A270" s="131"/>
      <c r="B270" s="131"/>
      <c r="C270" s="131"/>
    </row>
    <row r="271" spans="1:3" ht="15.75" customHeight="1">
      <c r="A271" s="131"/>
      <c r="B271" s="131"/>
      <c r="C271" s="131"/>
    </row>
    <row r="272" spans="1:3" ht="15.75" customHeight="1">
      <c r="A272" s="131"/>
      <c r="B272" s="131"/>
      <c r="C272" s="131"/>
    </row>
    <row r="273" spans="1:3" ht="15.75" customHeight="1">
      <c r="A273" s="131"/>
      <c r="B273" s="131"/>
      <c r="C273" s="131"/>
    </row>
    <row r="274" spans="1:3" ht="15.75" customHeight="1">
      <c r="A274" s="131"/>
      <c r="B274" s="131"/>
      <c r="C274" s="131"/>
    </row>
    <row r="275" spans="1:3" ht="15.75" customHeight="1">
      <c r="A275" s="131"/>
      <c r="B275" s="131"/>
      <c r="C275" s="131"/>
    </row>
    <row r="276" spans="1:3" ht="15.75" customHeight="1">
      <c r="A276" s="131"/>
      <c r="B276" s="131"/>
      <c r="C276" s="131"/>
    </row>
    <row r="277" spans="1:3" ht="15.75" customHeight="1">
      <c r="A277" s="131"/>
      <c r="B277" s="131"/>
      <c r="C277" s="131"/>
    </row>
    <row r="278" spans="1:3" ht="15.75" customHeight="1">
      <c r="A278" s="131"/>
      <c r="B278" s="131"/>
      <c r="C278" s="131"/>
    </row>
    <row r="279" spans="1:3" ht="15.75" customHeight="1">
      <c r="A279" s="131"/>
      <c r="B279" s="131"/>
      <c r="C279" s="131"/>
    </row>
    <row r="280" spans="1:3" ht="15.75" customHeight="1">
      <c r="A280" s="131"/>
      <c r="B280" s="131"/>
      <c r="C280" s="131"/>
    </row>
    <row r="281" spans="1:3" ht="15.75" customHeight="1">
      <c r="A281" s="131"/>
      <c r="B281" s="131"/>
      <c r="C281" s="131"/>
    </row>
    <row r="282" spans="1:3" ht="15.75" customHeight="1">
      <c r="A282" s="131"/>
      <c r="B282" s="131"/>
      <c r="C282" s="131"/>
    </row>
    <row r="283" spans="1:3" ht="15.75" customHeight="1">
      <c r="A283" s="131"/>
      <c r="B283" s="131"/>
      <c r="C283" s="131"/>
    </row>
    <row r="284" spans="1:3" ht="15.75" customHeight="1">
      <c r="A284" s="131"/>
      <c r="B284" s="131"/>
      <c r="C284" s="131"/>
    </row>
    <row r="285" spans="1:3" ht="15.75" customHeight="1">
      <c r="A285" s="131"/>
      <c r="B285" s="131"/>
      <c r="C285" s="131"/>
    </row>
    <row r="286" spans="1:3" ht="15.75" customHeight="1">
      <c r="A286" s="131"/>
      <c r="B286" s="131"/>
      <c r="C286" s="131"/>
    </row>
    <row r="287" spans="1:3" ht="15.75" customHeight="1">
      <c r="A287" s="131"/>
      <c r="B287" s="131"/>
      <c r="C287" s="131"/>
    </row>
    <row r="288" spans="1:3" ht="15.75" customHeight="1">
      <c r="A288" s="131"/>
      <c r="B288" s="131"/>
      <c r="C288" s="131"/>
    </row>
    <row r="289" spans="1:3" ht="15.75" customHeight="1">
      <c r="A289" s="131"/>
      <c r="B289" s="131"/>
      <c r="C289" s="131"/>
    </row>
    <row r="290" spans="1:3" ht="15.75" customHeight="1">
      <c r="A290" s="131"/>
      <c r="B290" s="131"/>
      <c r="C290" s="131"/>
    </row>
    <row r="291" spans="1:3" ht="15.75" customHeight="1">
      <c r="A291" s="131"/>
      <c r="B291" s="131"/>
      <c r="C291" s="131"/>
    </row>
    <row r="292" spans="1:3" ht="15.75" customHeight="1">
      <c r="A292" s="131"/>
      <c r="B292" s="131"/>
      <c r="C292" s="131"/>
    </row>
    <row r="293" spans="1:3" ht="15.75" customHeight="1">
      <c r="A293" s="131"/>
      <c r="B293" s="131"/>
      <c r="C293" s="131"/>
    </row>
    <row r="294" spans="1:3" ht="15.75" customHeight="1">
      <c r="A294" s="131"/>
      <c r="B294" s="131"/>
      <c r="C294" s="131"/>
    </row>
    <row r="295" spans="1:3" ht="15.75" customHeight="1">
      <c r="A295" s="131"/>
      <c r="B295" s="131"/>
      <c r="C295" s="131"/>
    </row>
    <row r="296" spans="1:3" ht="15.75" customHeight="1">
      <c r="A296" s="131"/>
      <c r="B296" s="131"/>
      <c r="C296" s="131"/>
    </row>
    <row r="297" spans="1:3" ht="15.75" customHeight="1">
      <c r="A297" s="131"/>
      <c r="B297" s="131"/>
      <c r="C297" s="131"/>
    </row>
    <row r="298" spans="1:3" ht="15.75" customHeight="1">
      <c r="A298" s="131"/>
      <c r="B298" s="131"/>
      <c r="C298" s="131"/>
    </row>
    <row r="299" spans="1:3" ht="15.75" customHeight="1">
      <c r="A299" s="131"/>
      <c r="B299" s="131"/>
      <c r="C299" s="131"/>
    </row>
    <row r="300" spans="1:3" ht="15.75" customHeight="1">
      <c r="A300" s="131"/>
      <c r="B300" s="131"/>
      <c r="C300" s="131"/>
    </row>
    <row r="301" spans="1:3" ht="15.75" customHeight="1">
      <c r="A301" s="131"/>
      <c r="B301" s="131"/>
      <c r="C301" s="131"/>
    </row>
    <row r="302" spans="1:3" ht="15.75" customHeight="1">
      <c r="A302" s="131"/>
      <c r="B302" s="131"/>
      <c r="C302" s="131"/>
    </row>
    <row r="303" spans="1:3" ht="15.75" customHeight="1">
      <c r="A303" s="131"/>
      <c r="B303" s="131"/>
      <c r="C303" s="131"/>
    </row>
    <row r="304" spans="1:3" ht="15.75" customHeight="1">
      <c r="A304" s="131"/>
      <c r="B304" s="131"/>
      <c r="C304" s="131"/>
    </row>
    <row r="305" spans="1:3" ht="15.75" customHeight="1">
      <c r="A305" s="131"/>
      <c r="B305" s="131"/>
      <c r="C305" s="131"/>
    </row>
    <row r="306" spans="1:3" ht="15.75" customHeight="1">
      <c r="A306" s="131"/>
      <c r="B306" s="131"/>
      <c r="C306" s="131"/>
    </row>
    <row r="307" spans="1:3" ht="15.75" customHeight="1">
      <c r="A307" s="131"/>
      <c r="B307" s="131"/>
      <c r="C307" s="131"/>
    </row>
    <row r="308" spans="1:3" ht="15.75" customHeight="1">
      <c r="A308" s="131"/>
      <c r="B308" s="131"/>
      <c r="C308" s="131"/>
    </row>
    <row r="309" spans="1:3" ht="15.75" customHeight="1">
      <c r="A309" s="131"/>
      <c r="B309" s="131"/>
      <c r="C309" s="131"/>
    </row>
    <row r="310" spans="1:3" ht="15.75" customHeight="1">
      <c r="A310" s="131"/>
      <c r="B310" s="131"/>
      <c r="C310" s="131"/>
    </row>
    <row r="311" spans="1:3" ht="15.75" customHeight="1">
      <c r="A311" s="131"/>
      <c r="B311" s="131"/>
      <c r="C311" s="131"/>
    </row>
    <row r="312" spans="1:3" ht="15.75" customHeight="1">
      <c r="A312" s="131"/>
      <c r="B312" s="131"/>
      <c r="C312" s="131"/>
    </row>
    <row r="313" spans="1:3" ht="15.75" customHeight="1">
      <c r="A313" s="131"/>
      <c r="B313" s="131"/>
      <c r="C313" s="131"/>
    </row>
    <row r="314" spans="1:3" ht="15.75" customHeight="1">
      <c r="A314" s="131"/>
      <c r="B314" s="131"/>
      <c r="C314" s="131"/>
    </row>
    <row r="315" spans="1:3" ht="15.75" customHeight="1">
      <c r="A315" s="131"/>
      <c r="B315" s="131"/>
      <c r="C315" s="131"/>
    </row>
    <row r="316" spans="1:3" ht="15.75" customHeight="1">
      <c r="A316" s="131"/>
      <c r="B316" s="131"/>
      <c r="C316" s="131"/>
    </row>
    <row r="317" spans="1:3" ht="15.75" customHeight="1">
      <c r="A317" s="131"/>
      <c r="B317" s="131"/>
      <c r="C317" s="131"/>
    </row>
    <row r="318" spans="1:3" ht="15.75" customHeight="1">
      <c r="A318" s="131"/>
      <c r="B318" s="131"/>
      <c r="C318" s="131"/>
    </row>
    <row r="319" spans="1:3" ht="15.75" customHeight="1">
      <c r="A319" s="131"/>
      <c r="B319" s="131"/>
      <c r="C319" s="131"/>
    </row>
    <row r="320" spans="1:3" ht="15.75" customHeight="1">
      <c r="A320" s="131"/>
      <c r="B320" s="131"/>
      <c r="C320" s="131"/>
    </row>
    <row r="321" spans="1:3" ht="15.75" customHeight="1">
      <c r="A321" s="131"/>
      <c r="B321" s="131"/>
      <c r="C321" s="131"/>
    </row>
    <row r="322" spans="1:3" ht="15.75" customHeight="1">
      <c r="A322" s="131"/>
      <c r="B322" s="131"/>
      <c r="C322" s="131"/>
    </row>
    <row r="323" spans="1:3" ht="15.75" customHeight="1">
      <c r="A323" s="131"/>
      <c r="B323" s="131"/>
      <c r="C323" s="131"/>
    </row>
    <row r="324" spans="1:3" ht="15.75" customHeight="1">
      <c r="A324" s="131"/>
      <c r="B324" s="131"/>
      <c r="C324" s="131"/>
    </row>
    <row r="325" spans="1:3" ht="15.75" customHeight="1">
      <c r="A325" s="131"/>
      <c r="B325" s="131"/>
      <c r="C325" s="131"/>
    </row>
    <row r="326" spans="1:3" ht="15.75" customHeight="1"/>
    <row r="327" spans="1:3" ht="15.75" customHeight="1"/>
    <row r="328" spans="1:3" ht="15.75" customHeight="1"/>
    <row r="329" spans="1:3" ht="15.75" customHeight="1"/>
    <row r="330" spans="1:3" ht="15.75" customHeight="1"/>
    <row r="331" spans="1:3" ht="15.75" customHeight="1"/>
    <row r="332" spans="1:3" ht="15.75" customHeight="1"/>
    <row r="333" spans="1:3" ht="15.75" customHeight="1"/>
    <row r="334" spans="1:3" ht="15.75" customHeight="1"/>
    <row r="335" spans="1:3" ht="15.75" customHeight="1"/>
    <row r="336" spans="1:3"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sheetProtection algorithmName="SHA-512" hashValue="XCedFZgbPn+vBLly6lXTnH+1GIIuvQ+KY0fv3c5zbX+4t1Vc356ojU3CK4jhaRYhf5DEEoYXKH0wAYhWM90kUw==" saltValue="7Z9D1x/2BRmW18VyDjLDXw==" spinCount="100000" sheet="1" objects="1" scenarios="1"/>
  <mergeCells count="90">
    <mergeCell ref="T8:W9"/>
    <mergeCell ref="U14:V14"/>
    <mergeCell ref="W14:X14"/>
    <mergeCell ref="G10:L10"/>
    <mergeCell ref="D20:F20"/>
    <mergeCell ref="D19:F19"/>
    <mergeCell ref="D11:F11"/>
    <mergeCell ref="D14:D15"/>
    <mergeCell ref="E14:F14"/>
    <mergeCell ref="E15:F15"/>
    <mergeCell ref="E13:F13"/>
    <mergeCell ref="D12:D13"/>
    <mergeCell ref="E12:F12"/>
    <mergeCell ref="H23:J23"/>
    <mergeCell ref="P23:Q23"/>
    <mergeCell ref="T33:W34"/>
    <mergeCell ref="D21:F21"/>
    <mergeCell ref="D23:F23"/>
    <mergeCell ref="H32:I32"/>
    <mergeCell ref="D32:G32"/>
    <mergeCell ref="D26:G26"/>
    <mergeCell ref="D31:G31"/>
    <mergeCell ref="B66:B87"/>
    <mergeCell ref="D50:G50"/>
    <mergeCell ref="D49:G49"/>
    <mergeCell ref="D2:H2"/>
    <mergeCell ref="D3:G3"/>
    <mergeCell ref="D42:G42"/>
    <mergeCell ref="B32:B53"/>
    <mergeCell ref="D56:G56"/>
    <mergeCell ref="D35:G35"/>
    <mergeCell ref="D33:G33"/>
    <mergeCell ref="D34:G34"/>
    <mergeCell ref="D36:G36"/>
    <mergeCell ref="B27:B29"/>
    <mergeCell ref="D28:G28"/>
    <mergeCell ref="D27:G27"/>
    <mergeCell ref="D37:G37"/>
    <mergeCell ref="H123:K123"/>
    <mergeCell ref="D123:G123"/>
    <mergeCell ref="T112:W113"/>
    <mergeCell ref="T107:W108"/>
    <mergeCell ref="B90:B101"/>
    <mergeCell ref="B104:B119"/>
    <mergeCell ref="B121:B125"/>
    <mergeCell ref="D97:G97"/>
    <mergeCell ref="D98:G98"/>
    <mergeCell ref="D100:G100"/>
    <mergeCell ref="D124:G124"/>
    <mergeCell ref="D121:G121"/>
    <mergeCell ref="D101:G101"/>
    <mergeCell ref="D104:H104"/>
    <mergeCell ref="J109:K109"/>
    <mergeCell ref="D93:G93"/>
    <mergeCell ref="B3:B24"/>
    <mergeCell ref="D18:F18"/>
    <mergeCell ref="D29:G29"/>
    <mergeCell ref="D51:G51"/>
    <mergeCell ref="D52:G52"/>
    <mergeCell ref="D44:G44"/>
    <mergeCell ref="D48:G48"/>
    <mergeCell ref="D47:G47"/>
    <mergeCell ref="D45:G45"/>
    <mergeCell ref="D46:G46"/>
    <mergeCell ref="D41:G41"/>
    <mergeCell ref="D40:G40"/>
    <mergeCell ref="D43:G43"/>
    <mergeCell ref="N104:O104"/>
    <mergeCell ref="D94:G94"/>
    <mergeCell ref="D57:G57"/>
    <mergeCell ref="D61:G61"/>
    <mergeCell ref="D60:G60"/>
    <mergeCell ref="D59:G59"/>
    <mergeCell ref="D58:G58"/>
    <mergeCell ref="D62:G62"/>
    <mergeCell ref="F68:I68"/>
    <mergeCell ref="H90:I90"/>
    <mergeCell ref="D92:G92"/>
    <mergeCell ref="J68:L68"/>
    <mergeCell ref="D66:L66"/>
    <mergeCell ref="N59:R62"/>
    <mergeCell ref="T36:X40"/>
    <mergeCell ref="T41:X42"/>
    <mergeCell ref="T44:X47"/>
    <mergeCell ref="B56:B64"/>
    <mergeCell ref="N56:R57"/>
    <mergeCell ref="J60:L63"/>
    <mergeCell ref="K39:L39"/>
    <mergeCell ref="D53:H53"/>
    <mergeCell ref="D39:G39"/>
  </mergeCells>
  <dataValidations disablePrompts="1" count="15">
    <dataValidation type="list" allowBlank="1" showErrorMessage="1" sqref="K7" xr:uid="{00000000-0002-0000-0400-000000000000}">
      <formula1>"Commercial,Residential"</formula1>
    </dataValidation>
    <dataValidation type="list" allowBlank="1" showErrorMessage="1" sqref="H28" xr:uid="{00000000-0002-0000-0400-000001000000}">
      <formula1>"Yes,No"</formula1>
    </dataValidation>
    <dataValidation type="list" allowBlank="1" showErrorMessage="1" sqref="H123" xr:uid="{00000000-0002-0000-0400-000002000000}">
      <formula1>"Runoff mostly from parking areas,Runoff mostly from hardscape,Runoff mostly from vegetated area,Runoff mostly from natural filtration (bio-swales or retention ponds),Runoff is mechanically filtered and released"</formula1>
    </dataValidation>
    <dataValidation type="list" allowBlank="1" showErrorMessage="1" sqref="H37" xr:uid="{00000000-0002-0000-0400-000003000000}">
      <formula1>"Drip Irrigation,Sprinklers,Sprinklers on a slope"</formula1>
    </dataValidation>
    <dataValidation type="list" allowBlank="1" showErrorMessage="1" sqref="H34" xr:uid="{00000000-0002-0000-0400-000004000000}">
      <formula1>"Cool Humid,Cool Dry,Warm Humid,Warm Dry,Hot Humid,Hot Dry"</formula1>
    </dataValidation>
    <dataValidation type="list" allowBlank="1" showErrorMessage="1" sqref="H35" xr:uid="{00000000-0002-0000-0400-000005000000}">
      <formula1>"No water stress,Baseline,Some water stress"</formula1>
    </dataValidation>
    <dataValidation type="list" allowBlank="1" showErrorMessage="1" sqref="H36" xr:uid="{00000000-0002-0000-0400-000006000000}">
      <formula1>"Turf Grass,Vegetable Garden,Annual Flowers,Orchard - evergreen,Orchard - deciduous,Perennial flowers,Ground cover,Trees,Shrubs,Native Plants,Xeriscape"</formula1>
    </dataValidation>
    <dataValidation type="list" allowBlank="1" showErrorMessage="1" sqref="H60:H61" xr:uid="{00000000-0002-0000-0400-000007000000}">
      <formula1>"Yes,No,n/a"</formula1>
    </dataValidation>
    <dataValidation allowBlank="1" showInputMessage="1" showErrorMessage="1" prompt="This can be either a cistern, a retention pond, or some other form of on site rainwater storage" sqref="G108" xr:uid="{5B4955F5-163B-4D6E-8DDA-F933A35CB671}"/>
    <dataValidation allowBlank="1" showInputMessage="1" showErrorMessage="1" prompt="Choose the closest city from the table to the right" sqref="G106" xr:uid="{1C216EE1-034A-43A7-A9E4-913C8236EA53}"/>
    <dataValidation allowBlank="1" showInputMessage="1" showErrorMessage="1" prompt="Residential includes single family, multifamily, and lodging." sqref="J7" xr:uid="{9E1DAF05-E308-4160-BD27-6853333FE6CB}"/>
    <dataValidation type="list" allowBlank="1" showErrorMessage="1" sqref="H56" xr:uid="{72527500-3B7D-40A7-9D7B-C609CEDFB28D}">
      <formula1>"0%,10%,20%,30%,40%,50%,60%,70%,80%,90%,100%"</formula1>
    </dataValidation>
    <dataValidation allowBlank="1" showInputMessage="1" showErrorMessage="1" prompt="Use your best judgement. Hotter, drier areas require more water for irrigation." sqref="D34:G34" xr:uid="{65467BC7-C3CB-4A3C-BCF3-FDF936BEA743}"/>
    <dataValidation allowBlank="1" showInputMessage="1" showErrorMessage="1" prompt="This is the quantity of water relative to a plant's needs._x000a_No water stress - All the water the pant could use. _x000a_Baseline -  Typical irrigation systems _x000a_Water stress - Just enough water to keep plants alive" sqref="D35:G35" xr:uid="{9E28513E-1EBD-4C3A-A42F-FC8A371FB17D}"/>
    <dataValidation allowBlank="1" showInputMessage="1" showErrorMessage="1" prompt="Type of plantings " sqref="D36:G36" xr:uid="{61AC31B7-378D-4136-96AC-F520135895AF}"/>
  </dataValidations>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L1000"/>
  <sheetViews>
    <sheetView workbookViewId="0">
      <pane ySplit="3" topLeftCell="A4" activePane="bottomLeft" state="frozen"/>
      <selection pane="bottomLeft" activeCell="E35" sqref="E35"/>
    </sheetView>
  </sheetViews>
  <sheetFormatPr defaultColWidth="14.42578125" defaultRowHeight="15" customHeight="1"/>
  <cols>
    <col min="1" max="1" width="2.42578125" customWidth="1"/>
    <col min="2" max="2" width="29.7109375" customWidth="1"/>
    <col min="3" max="3" width="1.7109375" customWidth="1"/>
    <col min="4" max="4" width="44.5703125" customWidth="1"/>
    <col min="5" max="5" width="13.85546875" customWidth="1"/>
    <col min="6" max="8" width="8.7109375" customWidth="1"/>
    <col min="9" max="9" width="64.28515625" customWidth="1"/>
    <col min="10" max="10" width="8.7109375" customWidth="1"/>
    <col min="11" max="11" width="5.28515625" customWidth="1"/>
    <col min="12" max="12" width="24.42578125" customWidth="1"/>
    <col min="13" max="13" width="6.140625" customWidth="1"/>
    <col min="14" max="14" width="8.7109375" customWidth="1"/>
    <col min="15" max="15" width="3.28515625" customWidth="1"/>
    <col min="16" max="19" width="8.7109375" customWidth="1"/>
  </cols>
  <sheetData>
    <row r="1" spans="1:38" ht="37.5" customHeight="1">
      <c r="A1" s="52" t="s">
        <v>298</v>
      </c>
      <c r="B1" s="52"/>
      <c r="C1" s="52"/>
      <c r="D1" s="52"/>
      <c r="E1" s="52"/>
      <c r="F1" s="17"/>
      <c r="G1" s="17"/>
      <c r="H1" s="17"/>
      <c r="I1" s="17"/>
      <c r="J1" s="17"/>
      <c r="K1" s="17"/>
      <c r="L1" s="17"/>
      <c r="M1" s="17"/>
      <c r="N1" s="17"/>
      <c r="O1" s="17"/>
      <c r="P1" s="17"/>
      <c r="Q1" s="17"/>
      <c r="R1" s="17"/>
      <c r="S1" s="17"/>
      <c r="T1" s="3"/>
      <c r="U1" s="3"/>
      <c r="V1" s="3"/>
      <c r="W1" s="3"/>
      <c r="X1" s="3"/>
      <c r="Y1" s="3"/>
      <c r="Z1" s="3"/>
      <c r="AA1" s="3"/>
      <c r="AB1" s="3"/>
      <c r="AC1" s="3"/>
      <c r="AD1" s="3"/>
      <c r="AE1" s="3"/>
      <c r="AF1" s="3"/>
      <c r="AG1" s="3"/>
      <c r="AH1" s="3"/>
      <c r="AI1" s="3"/>
      <c r="AJ1" s="3"/>
      <c r="AK1" s="3"/>
      <c r="AL1" s="3"/>
    </row>
    <row r="2" spans="1:38">
      <c r="A2" s="3"/>
      <c r="B2" s="3"/>
      <c r="C2" s="3"/>
      <c r="D2" s="87"/>
      <c r="E2" s="89"/>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c r="A3" s="9"/>
      <c r="B3" s="15" t="s">
        <v>5</v>
      </c>
      <c r="C3" s="15"/>
      <c r="D3" s="849" t="s">
        <v>300</v>
      </c>
      <c r="E3" s="716"/>
      <c r="F3" s="716"/>
      <c r="G3" s="716"/>
      <c r="H3" s="717"/>
      <c r="I3" s="9"/>
      <c r="J3" s="9"/>
      <c r="K3" s="9"/>
      <c r="L3" s="15" t="s">
        <v>9</v>
      </c>
      <c r="M3" s="9"/>
      <c r="N3" s="9"/>
      <c r="O3" s="9"/>
      <c r="P3" s="9"/>
      <c r="Q3" s="9"/>
      <c r="R3" s="15" t="s">
        <v>10</v>
      </c>
      <c r="S3" s="9"/>
      <c r="T3" s="3"/>
      <c r="U3" s="3"/>
      <c r="V3" s="3"/>
      <c r="W3" s="3"/>
      <c r="X3" s="3"/>
      <c r="Y3" s="3"/>
      <c r="Z3" s="3"/>
      <c r="AA3" s="3"/>
      <c r="AB3" s="3"/>
      <c r="AC3" s="3"/>
      <c r="AD3" s="3"/>
      <c r="AE3" s="3"/>
      <c r="AF3" s="3"/>
      <c r="AG3" s="3"/>
      <c r="AH3" s="3"/>
      <c r="AI3" s="3"/>
      <c r="AJ3" s="3"/>
      <c r="AK3" s="3"/>
      <c r="AL3" s="3"/>
    </row>
    <row r="4" spans="1:38">
      <c r="A4" s="3"/>
      <c r="B4" s="799" t="s">
        <v>303</v>
      </c>
      <c r="C4" s="20"/>
      <c r="D4" s="26" t="s">
        <v>305</v>
      </c>
      <c r="E4" s="26"/>
      <c r="F4" s="26"/>
      <c r="G4" s="26"/>
      <c r="H4" s="26"/>
      <c r="I4" s="26"/>
      <c r="J4" s="26"/>
      <c r="K4" s="20"/>
      <c r="L4" s="19"/>
      <c r="M4" s="19"/>
      <c r="N4" s="19"/>
      <c r="O4" s="20"/>
      <c r="P4" s="19"/>
      <c r="Q4" s="19"/>
      <c r="R4" s="19"/>
      <c r="S4" s="3"/>
      <c r="T4" s="3"/>
      <c r="U4" s="3"/>
      <c r="V4" s="3"/>
      <c r="W4" s="3"/>
      <c r="X4" s="3"/>
      <c r="Y4" s="3"/>
      <c r="Z4" s="3"/>
      <c r="AA4" s="3"/>
      <c r="AB4" s="3"/>
      <c r="AC4" s="3"/>
      <c r="AD4" s="3"/>
      <c r="AE4" s="3"/>
      <c r="AF4" s="3"/>
      <c r="AG4" s="3"/>
      <c r="AH4" s="3"/>
      <c r="AI4" s="3"/>
      <c r="AJ4" s="3"/>
      <c r="AK4" s="3"/>
      <c r="AL4" s="3"/>
    </row>
    <row r="5" spans="1:38">
      <c r="A5" s="3"/>
      <c r="B5" s="800"/>
      <c r="C5" s="20"/>
      <c r="D5" s="28"/>
      <c r="E5" s="28"/>
      <c r="F5" s="28"/>
      <c r="G5" s="28"/>
      <c r="H5" s="28"/>
      <c r="I5" s="28"/>
      <c r="J5" s="28"/>
      <c r="K5" s="20"/>
      <c r="L5" s="19"/>
      <c r="M5" s="19"/>
      <c r="N5" s="19"/>
      <c r="O5" s="20"/>
      <c r="P5" s="19"/>
      <c r="Q5" s="19"/>
      <c r="R5" s="19"/>
      <c r="S5" s="3"/>
      <c r="T5" s="3"/>
      <c r="U5" s="3"/>
      <c r="V5" s="3"/>
      <c r="W5" s="3"/>
      <c r="X5" s="3"/>
      <c r="Y5" s="3"/>
      <c r="Z5" s="3"/>
      <c r="AA5" s="3"/>
      <c r="AB5" s="3"/>
      <c r="AC5" s="3"/>
      <c r="AD5" s="3"/>
      <c r="AE5" s="3"/>
      <c r="AF5" s="3"/>
      <c r="AG5" s="3"/>
      <c r="AH5" s="3"/>
      <c r="AI5" s="3"/>
      <c r="AJ5" s="3"/>
      <c r="AK5" s="3"/>
      <c r="AL5" s="3"/>
    </row>
    <row r="6" spans="1:38">
      <c r="A6" s="3"/>
      <c r="B6" s="800"/>
      <c r="C6" s="20"/>
      <c r="D6" s="44" t="s">
        <v>306</v>
      </c>
      <c r="E6" s="345">
        <v>150</v>
      </c>
      <c r="F6" s="28" t="s">
        <v>307</v>
      </c>
      <c r="G6" s="28"/>
      <c r="H6" s="27" t="s">
        <v>308</v>
      </c>
      <c r="I6" s="358" t="s">
        <v>929</v>
      </c>
      <c r="J6" s="28"/>
      <c r="K6" s="20"/>
      <c r="L6" s="19"/>
      <c r="M6" s="19"/>
      <c r="N6" s="19"/>
      <c r="O6" s="20"/>
      <c r="P6" s="592" t="s">
        <v>1079</v>
      </c>
      <c r="Q6" s="19"/>
      <c r="R6" s="19"/>
      <c r="S6" s="3"/>
      <c r="T6" s="3"/>
      <c r="U6" s="3"/>
      <c r="V6" s="3"/>
      <c r="W6" s="3"/>
      <c r="X6" s="3"/>
      <c r="Y6" s="3"/>
      <c r="Z6" s="3"/>
      <c r="AA6" s="3"/>
      <c r="AB6" s="3"/>
      <c r="AC6" s="3"/>
      <c r="AD6" s="3"/>
      <c r="AE6" s="3"/>
      <c r="AF6" s="3"/>
      <c r="AG6" s="3"/>
      <c r="AH6" s="3"/>
      <c r="AI6" s="3"/>
      <c r="AJ6" s="3"/>
      <c r="AK6" s="3"/>
      <c r="AL6" s="3"/>
    </row>
    <row r="7" spans="1:38">
      <c r="A7" s="3"/>
      <c r="B7" s="800"/>
      <c r="C7" s="20"/>
      <c r="D7" s="27" t="s">
        <v>312</v>
      </c>
      <c r="E7" s="91">
        <f>Introduction!F21/Introduction!F12</f>
        <v>73.469387755102048</v>
      </c>
      <c r="F7" s="28" t="s">
        <v>307</v>
      </c>
      <c r="G7" s="28"/>
      <c r="H7" s="28"/>
      <c r="I7" s="92"/>
      <c r="J7" s="28"/>
      <c r="K7" s="20"/>
      <c r="L7" s="19"/>
      <c r="M7" s="19"/>
      <c r="N7" s="19"/>
      <c r="O7" s="20"/>
      <c r="P7" s="19"/>
      <c r="Q7" s="19"/>
      <c r="R7" s="19"/>
      <c r="S7" s="3"/>
      <c r="T7" s="3"/>
      <c r="U7" s="3"/>
      <c r="V7" s="3"/>
      <c r="W7" s="3"/>
      <c r="X7" s="3"/>
      <c r="Y7" s="3"/>
      <c r="Z7" s="3"/>
      <c r="AA7" s="3"/>
      <c r="AB7" s="3"/>
      <c r="AC7" s="3"/>
      <c r="AD7" s="3"/>
      <c r="AE7" s="3"/>
      <c r="AF7" s="3"/>
      <c r="AG7" s="3"/>
      <c r="AH7" s="3"/>
      <c r="AI7" s="3"/>
      <c r="AJ7" s="3"/>
      <c r="AK7" s="3"/>
      <c r="AL7" s="3"/>
    </row>
    <row r="8" spans="1:38">
      <c r="A8" s="3"/>
      <c r="B8" s="800"/>
      <c r="C8" s="20"/>
      <c r="D8" s="27" t="s">
        <v>315</v>
      </c>
      <c r="E8" s="93">
        <f>1-(E7/E6)</f>
        <v>0.51020408163265296</v>
      </c>
      <c r="F8" s="28"/>
      <c r="G8" s="28"/>
      <c r="H8" s="28"/>
      <c r="I8" s="28"/>
      <c r="J8" s="28"/>
      <c r="K8" s="20"/>
      <c r="L8" s="19"/>
      <c r="M8" s="19"/>
      <c r="N8" s="19"/>
      <c r="O8" s="20"/>
      <c r="P8" s="19"/>
      <c r="Q8" s="19"/>
      <c r="R8" s="19"/>
      <c r="S8" s="3"/>
      <c r="T8" s="3"/>
      <c r="U8" s="3"/>
      <c r="V8" s="3"/>
      <c r="W8" s="3"/>
      <c r="X8" s="3"/>
      <c r="Y8" s="3"/>
      <c r="Z8" s="3"/>
      <c r="AA8" s="3"/>
      <c r="AB8" s="3"/>
      <c r="AC8" s="3"/>
      <c r="AD8" s="3"/>
      <c r="AE8" s="3"/>
      <c r="AF8" s="3"/>
      <c r="AG8" s="3"/>
      <c r="AH8" s="3"/>
      <c r="AI8" s="3"/>
      <c r="AJ8" s="3"/>
      <c r="AK8" s="3"/>
      <c r="AL8" s="3"/>
    </row>
    <row r="9" spans="1:38">
      <c r="A9" s="3"/>
      <c r="B9" s="801"/>
      <c r="C9" s="20"/>
      <c r="D9" s="28"/>
      <c r="E9" s="28"/>
      <c r="F9" s="28"/>
      <c r="G9" s="28"/>
      <c r="H9" s="28"/>
      <c r="I9" s="28"/>
      <c r="J9" s="28"/>
      <c r="K9" s="20"/>
      <c r="L9" s="19"/>
      <c r="M9" s="19"/>
      <c r="N9" s="19"/>
      <c r="O9" s="20"/>
      <c r="P9" s="19"/>
      <c r="Q9" s="19"/>
      <c r="R9" s="19"/>
      <c r="S9" s="3"/>
      <c r="T9" s="3"/>
      <c r="U9" s="3"/>
      <c r="V9" s="3"/>
      <c r="W9" s="3"/>
      <c r="X9" s="3"/>
      <c r="Y9" s="3"/>
      <c r="Z9" s="3"/>
      <c r="AA9" s="3"/>
      <c r="AB9" s="3"/>
      <c r="AC9" s="3"/>
      <c r="AD9" s="3"/>
      <c r="AE9" s="3"/>
      <c r="AF9" s="3"/>
      <c r="AG9" s="3"/>
      <c r="AH9" s="3"/>
      <c r="AI9" s="3"/>
      <c r="AJ9" s="3"/>
      <c r="AK9" s="3"/>
      <c r="AL9" s="3"/>
    </row>
    <row r="10" spans="1:38">
      <c r="A10" s="3"/>
      <c r="B10" s="20"/>
      <c r="C10" s="20"/>
      <c r="D10" s="20"/>
      <c r="E10" s="20"/>
      <c r="F10" s="20"/>
      <c r="G10" s="20"/>
      <c r="H10" s="20"/>
      <c r="I10" s="20"/>
      <c r="J10" s="20"/>
      <c r="K10" s="20"/>
      <c r="L10" s="20"/>
      <c r="M10" s="20"/>
      <c r="N10" s="20"/>
      <c r="O10" s="20"/>
      <c r="P10" s="20"/>
      <c r="Q10" s="20"/>
      <c r="R10" s="20"/>
      <c r="S10" s="3"/>
      <c r="T10" s="3"/>
      <c r="U10" s="3"/>
      <c r="V10" s="3"/>
      <c r="W10" s="3"/>
      <c r="X10" s="3"/>
      <c r="Y10" s="3"/>
      <c r="Z10" s="3"/>
      <c r="AA10" s="3"/>
      <c r="AB10" s="3"/>
      <c r="AC10" s="3"/>
      <c r="AD10" s="3"/>
      <c r="AE10" s="3"/>
      <c r="AF10" s="3"/>
      <c r="AG10" s="3"/>
      <c r="AH10" s="3"/>
      <c r="AI10" s="3"/>
      <c r="AJ10" s="3"/>
      <c r="AK10" s="3"/>
      <c r="AL10" s="3"/>
    </row>
    <row r="11" spans="1:38">
      <c r="A11" s="3"/>
      <c r="B11" s="799" t="s">
        <v>1098</v>
      </c>
      <c r="C11" s="20"/>
      <c r="D11" s="26" t="s">
        <v>321</v>
      </c>
      <c r="E11" s="26"/>
      <c r="F11" s="26"/>
      <c r="G11" s="26"/>
      <c r="H11" s="26"/>
      <c r="I11" s="26"/>
      <c r="J11" s="26"/>
      <c r="K11" s="20"/>
      <c r="L11" s="868" t="s">
        <v>322</v>
      </c>
      <c r="M11" s="808"/>
      <c r="N11" s="809"/>
      <c r="O11" s="20"/>
      <c r="P11" s="19"/>
      <c r="Q11" s="19"/>
      <c r="R11" s="19"/>
      <c r="S11" s="3"/>
      <c r="T11" s="3"/>
      <c r="U11" s="3"/>
      <c r="V11" s="3"/>
      <c r="W11" s="3"/>
      <c r="X11" s="3"/>
      <c r="Y11" s="3"/>
      <c r="Z11" s="3"/>
      <c r="AA11" s="3"/>
      <c r="AB11" s="3"/>
      <c r="AC11" s="3"/>
      <c r="AD11" s="3"/>
      <c r="AE11" s="3"/>
      <c r="AF11" s="3"/>
      <c r="AG11" s="3"/>
      <c r="AH11" s="3"/>
      <c r="AI11" s="3"/>
      <c r="AJ11" s="3"/>
      <c r="AK11" s="3"/>
      <c r="AL11" s="3"/>
    </row>
    <row r="12" spans="1:38" ht="16.5" customHeight="1">
      <c r="A12" s="3"/>
      <c r="B12" s="800"/>
      <c r="C12" s="20"/>
      <c r="D12" s="27"/>
      <c r="E12" s="27"/>
      <c r="F12" s="27"/>
      <c r="G12" s="27"/>
      <c r="H12" s="27"/>
      <c r="I12" s="27"/>
      <c r="J12" s="27"/>
      <c r="K12" s="20"/>
      <c r="L12" s="869"/>
      <c r="M12" s="870"/>
      <c r="N12" s="871"/>
      <c r="O12" s="20"/>
      <c r="P12" s="19"/>
      <c r="Q12" s="19"/>
      <c r="R12" s="19"/>
      <c r="S12" s="3"/>
      <c r="T12" s="3"/>
      <c r="U12" s="3"/>
      <c r="V12" s="3"/>
      <c r="W12" s="3"/>
      <c r="X12" s="3"/>
      <c r="Y12" s="3"/>
      <c r="Z12" s="3"/>
      <c r="AA12" s="3"/>
      <c r="AB12" s="3"/>
      <c r="AC12" s="3"/>
      <c r="AD12" s="3"/>
      <c r="AE12" s="3"/>
      <c r="AF12" s="3"/>
      <c r="AG12" s="3"/>
      <c r="AH12" s="3"/>
      <c r="AI12" s="3"/>
      <c r="AJ12" s="3"/>
      <c r="AK12" s="3"/>
      <c r="AL12" s="3"/>
    </row>
    <row r="13" spans="1:38">
      <c r="A13" s="3"/>
      <c r="B13" s="800"/>
      <c r="C13" s="20"/>
      <c r="D13" s="44"/>
      <c r="E13" s="44" t="s">
        <v>331</v>
      </c>
      <c r="F13" s="27"/>
      <c r="G13" s="27"/>
      <c r="H13" s="27"/>
      <c r="I13" s="27"/>
      <c r="J13" s="27"/>
      <c r="K13" s="20"/>
      <c r="L13" s="71" t="s">
        <v>332</v>
      </c>
      <c r="M13" s="19">
        <v>2.16</v>
      </c>
      <c r="N13" s="19" t="s">
        <v>333</v>
      </c>
      <c r="O13" s="20"/>
      <c r="P13" s="19"/>
      <c r="Q13" s="19"/>
      <c r="R13" s="19"/>
      <c r="S13" s="3"/>
      <c r="T13" s="3"/>
      <c r="U13" s="3"/>
      <c r="V13" s="3"/>
      <c r="W13" s="3"/>
      <c r="X13" s="3"/>
      <c r="Y13" s="3"/>
      <c r="Z13" s="3"/>
      <c r="AA13" s="3"/>
      <c r="AB13" s="3"/>
      <c r="AC13" s="3"/>
      <c r="AD13" s="3"/>
      <c r="AE13" s="3"/>
      <c r="AF13" s="3"/>
      <c r="AG13" s="3"/>
      <c r="AH13" s="3"/>
      <c r="AI13" s="3"/>
      <c r="AJ13" s="3"/>
      <c r="AK13" s="3"/>
      <c r="AL13" s="3"/>
    </row>
    <row r="14" spans="1:38">
      <c r="A14" s="3"/>
      <c r="B14" s="800"/>
      <c r="C14" s="20"/>
      <c r="D14" s="27" t="s">
        <v>334</v>
      </c>
      <c r="E14" s="98">
        <f>'6 - Energy'!N27*'6 - Energy'!E31</f>
        <v>8812.7999999999993</v>
      </c>
      <c r="F14" s="28" t="s">
        <v>337</v>
      </c>
      <c r="G14" s="27"/>
      <c r="H14" s="27" t="s">
        <v>338</v>
      </c>
      <c r="I14" s="358" t="s">
        <v>339</v>
      </c>
      <c r="J14" s="28"/>
      <c r="K14" s="20"/>
      <c r="L14" s="71" t="s">
        <v>340</v>
      </c>
      <c r="M14" s="19">
        <v>1.45</v>
      </c>
      <c r="N14" s="19" t="s">
        <v>333</v>
      </c>
      <c r="O14" s="20"/>
      <c r="P14" s="19"/>
      <c r="Q14" s="19"/>
      <c r="R14" s="19"/>
      <c r="S14" s="3"/>
      <c r="T14" s="3"/>
      <c r="U14" s="3"/>
      <c r="V14" s="3"/>
      <c r="W14" s="3"/>
      <c r="X14" s="3"/>
      <c r="Y14" s="3"/>
      <c r="Z14" s="3"/>
      <c r="AA14" s="3"/>
      <c r="AB14" s="3"/>
      <c r="AC14" s="3"/>
      <c r="AD14" s="3"/>
      <c r="AE14" s="3"/>
      <c r="AF14" s="3"/>
      <c r="AG14" s="3"/>
      <c r="AH14" s="3"/>
      <c r="AI14" s="3"/>
      <c r="AJ14" s="3"/>
      <c r="AK14" s="3"/>
      <c r="AL14" s="3"/>
    </row>
    <row r="15" spans="1:38">
      <c r="A15" s="3"/>
      <c r="B15" s="800"/>
      <c r="C15" s="20"/>
      <c r="D15" s="27" t="s">
        <v>341</v>
      </c>
      <c r="E15" s="344"/>
      <c r="F15" s="28" t="s">
        <v>337</v>
      </c>
      <c r="G15" s="28"/>
      <c r="H15" s="27" t="s">
        <v>338</v>
      </c>
      <c r="I15" s="358"/>
      <c r="J15" s="28"/>
      <c r="K15" s="20"/>
      <c r="L15" s="71" t="s">
        <v>342</v>
      </c>
      <c r="M15" s="19">
        <v>1.52</v>
      </c>
      <c r="N15" s="19" t="s">
        <v>333</v>
      </c>
      <c r="O15" s="20"/>
      <c r="P15" s="19"/>
      <c r="Q15" s="19"/>
      <c r="R15" s="19"/>
      <c r="S15" s="3"/>
      <c r="T15" s="3"/>
      <c r="U15" s="3"/>
      <c r="V15" s="3"/>
      <c r="W15" s="3"/>
      <c r="X15" s="3"/>
      <c r="Y15" s="3"/>
      <c r="Z15" s="3"/>
      <c r="AA15" s="3"/>
      <c r="AB15" s="3"/>
      <c r="AC15" s="3"/>
      <c r="AD15" s="3"/>
      <c r="AE15" s="3"/>
      <c r="AF15" s="3"/>
      <c r="AG15" s="3"/>
      <c r="AH15" s="3"/>
      <c r="AI15" s="3"/>
      <c r="AJ15" s="3"/>
      <c r="AK15" s="3"/>
      <c r="AL15" s="3"/>
    </row>
    <row r="16" spans="1:38">
      <c r="A16" s="3"/>
      <c r="B16" s="800"/>
      <c r="C16" s="20"/>
      <c r="D16" s="27" t="s">
        <v>343</v>
      </c>
      <c r="E16" s="345"/>
      <c r="F16" s="28" t="s">
        <v>337</v>
      </c>
      <c r="G16" s="28"/>
      <c r="H16" s="27" t="s">
        <v>338</v>
      </c>
      <c r="I16" s="358"/>
      <c r="J16" s="28"/>
      <c r="K16" s="20"/>
      <c r="L16" s="71" t="s">
        <v>344</v>
      </c>
      <c r="M16" s="19">
        <v>0.61</v>
      </c>
      <c r="N16" s="19" t="s">
        <v>333</v>
      </c>
      <c r="O16" s="20"/>
      <c r="P16" s="19"/>
      <c r="Q16" s="19"/>
      <c r="R16" s="19"/>
      <c r="S16" s="3"/>
      <c r="T16" s="3"/>
      <c r="U16" s="3"/>
      <c r="V16" s="3"/>
      <c r="W16" s="3"/>
      <c r="X16" s="3"/>
      <c r="Y16" s="3"/>
      <c r="Z16" s="3"/>
      <c r="AA16" s="3"/>
      <c r="AB16" s="3"/>
      <c r="AC16" s="3"/>
      <c r="AD16" s="3"/>
      <c r="AE16" s="3"/>
      <c r="AF16" s="3"/>
      <c r="AG16" s="3"/>
      <c r="AH16" s="3"/>
      <c r="AI16" s="3"/>
      <c r="AJ16" s="3"/>
      <c r="AK16" s="3"/>
      <c r="AL16" s="3"/>
    </row>
    <row r="17" spans="1:38">
      <c r="A17" s="3"/>
      <c r="B17" s="800"/>
      <c r="C17" s="20"/>
      <c r="D17" s="27" t="s">
        <v>347</v>
      </c>
      <c r="E17" s="345"/>
      <c r="F17" s="28" t="s">
        <v>337</v>
      </c>
      <c r="G17" s="28"/>
      <c r="H17" s="27" t="s">
        <v>338</v>
      </c>
      <c r="I17" s="358"/>
      <c r="J17" s="28"/>
      <c r="K17" s="20"/>
      <c r="L17" s="71" t="s">
        <v>348</v>
      </c>
      <c r="M17" s="19">
        <v>0.25</v>
      </c>
      <c r="N17" s="19" t="s">
        <v>333</v>
      </c>
      <c r="O17" s="20"/>
      <c r="P17" s="19"/>
      <c r="Q17" s="19"/>
      <c r="R17" s="19"/>
      <c r="S17" s="3"/>
      <c r="T17" s="3"/>
      <c r="U17" s="3"/>
      <c r="V17" s="3"/>
      <c r="W17" s="3"/>
      <c r="X17" s="3"/>
      <c r="Y17" s="3"/>
      <c r="Z17" s="3"/>
      <c r="AA17" s="3"/>
      <c r="AB17" s="3"/>
      <c r="AC17" s="3"/>
      <c r="AD17" s="3"/>
      <c r="AE17" s="3"/>
      <c r="AF17" s="3"/>
      <c r="AG17" s="3"/>
      <c r="AH17" s="3"/>
      <c r="AI17" s="3"/>
      <c r="AJ17" s="3"/>
      <c r="AK17" s="3"/>
      <c r="AL17" s="3"/>
    </row>
    <row r="18" spans="1:38">
      <c r="A18" s="3"/>
      <c r="B18" s="800"/>
      <c r="C18" s="20"/>
      <c r="D18" s="27" t="s">
        <v>347</v>
      </c>
      <c r="E18" s="346"/>
      <c r="F18" s="28" t="s">
        <v>337</v>
      </c>
      <c r="G18" s="28"/>
      <c r="H18" s="27" t="s">
        <v>338</v>
      </c>
      <c r="I18" s="358"/>
      <c r="J18" s="28"/>
      <c r="K18" s="20"/>
      <c r="L18" s="71" t="s">
        <v>351</v>
      </c>
      <c r="M18" s="49">
        <v>2</v>
      </c>
      <c r="N18" s="49" t="s">
        <v>333</v>
      </c>
      <c r="O18" s="20"/>
      <c r="P18" s="19"/>
      <c r="Q18" s="19"/>
      <c r="R18" s="19"/>
      <c r="S18" s="3"/>
      <c r="T18" s="3"/>
      <c r="U18" s="3"/>
      <c r="V18" s="3"/>
      <c r="W18" s="3"/>
      <c r="X18" s="3"/>
      <c r="Y18" s="3"/>
      <c r="Z18" s="3"/>
      <c r="AA18" s="3"/>
      <c r="AB18" s="3"/>
      <c r="AC18" s="3"/>
      <c r="AD18" s="3"/>
      <c r="AE18" s="3"/>
      <c r="AF18" s="3"/>
      <c r="AG18" s="3"/>
      <c r="AH18" s="3"/>
      <c r="AI18" s="3"/>
      <c r="AJ18" s="3"/>
      <c r="AK18" s="3"/>
      <c r="AL18" s="3"/>
    </row>
    <row r="19" spans="1:38">
      <c r="A19" s="3"/>
      <c r="B19" s="800"/>
      <c r="C19" s="20"/>
      <c r="D19" s="101" t="s">
        <v>39</v>
      </c>
      <c r="E19" s="102">
        <f>SUM(E14:E16)</f>
        <v>8812.7999999999993</v>
      </c>
      <c r="F19" s="103" t="s">
        <v>337</v>
      </c>
      <c r="G19" s="28"/>
      <c r="H19" s="28"/>
      <c r="I19" s="28"/>
      <c r="J19" s="28"/>
      <c r="K19" s="20"/>
      <c r="L19" s="104" t="s">
        <v>39</v>
      </c>
      <c r="M19" s="66">
        <f>SUM(M13:M18)</f>
        <v>7.9900000000000011</v>
      </c>
      <c r="N19" s="66" t="s">
        <v>333</v>
      </c>
      <c r="O19" s="20"/>
      <c r="P19" s="19"/>
      <c r="Q19" s="19"/>
      <c r="R19" s="19"/>
      <c r="S19" s="3"/>
      <c r="T19" s="3"/>
      <c r="U19" s="3"/>
      <c r="V19" s="3"/>
      <c r="W19" s="3"/>
      <c r="X19" s="3"/>
      <c r="Y19" s="3"/>
      <c r="Z19" s="3"/>
      <c r="AA19" s="3"/>
      <c r="AB19" s="3"/>
      <c r="AC19" s="3"/>
      <c r="AD19" s="3"/>
      <c r="AE19" s="3"/>
      <c r="AF19" s="3"/>
      <c r="AG19" s="3"/>
      <c r="AH19" s="3"/>
      <c r="AI19" s="3"/>
      <c r="AJ19" s="3"/>
      <c r="AK19" s="3"/>
      <c r="AL19" s="3"/>
    </row>
    <row r="20" spans="1:38">
      <c r="A20" s="3"/>
      <c r="B20" s="800"/>
      <c r="C20" s="20"/>
      <c r="D20" s="28"/>
      <c r="E20" s="28"/>
      <c r="F20" s="28"/>
      <c r="G20" s="28"/>
      <c r="H20" s="28"/>
      <c r="I20" s="28"/>
      <c r="J20" s="28"/>
      <c r="K20" s="20"/>
      <c r="L20" s="19"/>
      <c r="M20" s="19"/>
      <c r="N20" s="19"/>
      <c r="O20" s="20"/>
      <c r="P20" s="19"/>
      <c r="Q20" s="19"/>
      <c r="R20" s="19"/>
      <c r="S20" s="3"/>
      <c r="T20" s="3"/>
      <c r="U20" s="3"/>
      <c r="V20" s="3"/>
      <c r="W20" s="3"/>
      <c r="X20" s="3"/>
      <c r="Y20" s="3"/>
      <c r="Z20" s="3"/>
      <c r="AA20" s="3"/>
      <c r="AB20" s="3"/>
      <c r="AC20" s="3"/>
      <c r="AD20" s="3"/>
      <c r="AE20" s="3"/>
      <c r="AF20" s="3"/>
      <c r="AG20" s="3"/>
      <c r="AH20" s="3"/>
      <c r="AI20" s="3"/>
      <c r="AJ20" s="3"/>
      <c r="AK20" s="3"/>
      <c r="AL20" s="3"/>
    </row>
    <row r="21" spans="1:38" ht="15.75" customHeight="1">
      <c r="A21" s="3"/>
      <c r="B21" s="801"/>
      <c r="C21" s="20"/>
      <c r="D21" s="28"/>
      <c r="E21" s="28"/>
      <c r="F21" s="28"/>
      <c r="G21" s="28"/>
      <c r="H21" s="28"/>
      <c r="I21" s="28"/>
      <c r="J21" s="28"/>
      <c r="K21" s="20"/>
      <c r="L21" s="19"/>
      <c r="M21" s="19"/>
      <c r="N21" s="19"/>
      <c r="O21" s="20"/>
      <c r="P21" s="19"/>
      <c r="Q21" s="19"/>
      <c r="R21" s="19"/>
      <c r="S21" s="3"/>
      <c r="T21" s="3"/>
      <c r="U21" s="3"/>
      <c r="V21" s="3"/>
      <c r="W21" s="3"/>
      <c r="X21" s="3"/>
      <c r="Y21" s="3"/>
      <c r="Z21" s="3"/>
      <c r="AA21" s="3"/>
      <c r="AB21" s="3"/>
      <c r="AC21" s="3"/>
      <c r="AD21" s="3"/>
      <c r="AE21" s="3"/>
      <c r="AF21" s="3"/>
      <c r="AG21" s="3"/>
      <c r="AH21" s="3"/>
      <c r="AI21" s="3"/>
      <c r="AJ21" s="3"/>
      <c r="AK21" s="3"/>
      <c r="AL21" s="3"/>
    </row>
    <row r="22" spans="1:38" ht="15.75" customHeight="1">
      <c r="A22" s="3"/>
      <c r="B22" s="20"/>
      <c r="C22" s="20"/>
      <c r="D22" s="20"/>
      <c r="E22" s="20"/>
      <c r="F22" s="20"/>
      <c r="G22" s="20"/>
      <c r="H22" s="20"/>
      <c r="I22" s="20"/>
      <c r="J22" s="20"/>
      <c r="K22" s="20"/>
      <c r="L22" s="20"/>
      <c r="M22" s="20"/>
      <c r="N22" s="20"/>
      <c r="O22" s="20"/>
      <c r="P22" s="20"/>
      <c r="Q22" s="20"/>
      <c r="R22" s="20"/>
      <c r="S22" s="3"/>
      <c r="T22" s="3"/>
      <c r="U22" s="3"/>
      <c r="V22" s="3"/>
      <c r="W22" s="3"/>
      <c r="X22" s="3"/>
      <c r="Y22" s="3"/>
      <c r="Z22" s="3"/>
      <c r="AA22" s="3"/>
      <c r="AB22" s="3"/>
      <c r="AC22" s="3"/>
      <c r="AD22" s="3"/>
      <c r="AE22" s="3"/>
      <c r="AF22" s="3"/>
      <c r="AG22" s="3"/>
      <c r="AH22" s="3"/>
      <c r="AI22" s="3"/>
      <c r="AJ22" s="3"/>
      <c r="AK22" s="3"/>
      <c r="AL22" s="3"/>
    </row>
    <row r="23" spans="1:38" ht="15.75" customHeight="1">
      <c r="A23" s="3"/>
      <c r="B23" s="799" t="s">
        <v>352</v>
      </c>
      <c r="C23" s="20"/>
      <c r="D23" s="26" t="s">
        <v>1053</v>
      </c>
      <c r="E23" s="26"/>
      <c r="F23" s="26"/>
      <c r="G23" s="26"/>
      <c r="H23" s="26"/>
      <c r="I23" s="26"/>
      <c r="J23" s="26"/>
      <c r="K23" s="20"/>
      <c r="L23" s="19"/>
      <c r="M23" s="19"/>
      <c r="N23" s="19"/>
      <c r="O23" s="20"/>
      <c r="P23" s="19"/>
      <c r="Q23" s="19"/>
      <c r="R23" s="19"/>
      <c r="S23" s="3"/>
      <c r="T23" s="3"/>
      <c r="U23" s="3"/>
      <c r="V23" s="3"/>
      <c r="W23" s="3"/>
      <c r="X23" s="3"/>
      <c r="Y23" s="3"/>
      <c r="Z23" s="3"/>
      <c r="AA23" s="3"/>
      <c r="AB23" s="3"/>
      <c r="AC23" s="3"/>
      <c r="AD23" s="3"/>
      <c r="AE23" s="3"/>
      <c r="AF23" s="3"/>
      <c r="AG23" s="3"/>
      <c r="AH23" s="3"/>
      <c r="AI23" s="3"/>
      <c r="AJ23" s="3"/>
      <c r="AK23" s="3"/>
      <c r="AL23" s="3"/>
    </row>
    <row r="24" spans="1:38" ht="15.75" customHeight="1">
      <c r="A24" s="3"/>
      <c r="B24" s="800"/>
      <c r="C24" s="20"/>
      <c r="D24" s="27"/>
      <c r="E24" s="27"/>
      <c r="F24" s="27"/>
      <c r="G24" s="27"/>
      <c r="H24" s="27"/>
      <c r="I24" s="27"/>
      <c r="J24" s="27"/>
      <c r="K24" s="20"/>
      <c r="L24" s="19"/>
      <c r="M24" s="19"/>
      <c r="N24" s="19"/>
      <c r="O24" s="20"/>
      <c r="P24" s="867" t="s">
        <v>1080</v>
      </c>
      <c r="Q24" s="867"/>
      <c r="R24" s="867"/>
      <c r="S24" s="3"/>
      <c r="T24" s="3"/>
      <c r="U24" s="3"/>
      <c r="V24" s="3"/>
      <c r="W24" s="3"/>
      <c r="X24" s="3"/>
      <c r="Y24" s="3"/>
      <c r="Z24" s="3"/>
      <c r="AA24" s="3"/>
      <c r="AB24" s="3"/>
      <c r="AC24" s="3"/>
      <c r="AD24" s="3"/>
      <c r="AE24" s="3"/>
      <c r="AF24" s="3"/>
      <c r="AG24" s="3"/>
      <c r="AH24" s="3"/>
      <c r="AI24" s="3"/>
      <c r="AJ24" s="3"/>
      <c r="AK24" s="3"/>
      <c r="AL24" s="3"/>
    </row>
    <row r="25" spans="1:38" ht="15.75" customHeight="1">
      <c r="A25" s="3"/>
      <c r="B25" s="800"/>
      <c r="C25" s="20"/>
      <c r="D25" s="27" t="s">
        <v>353</v>
      </c>
      <c r="E25" s="347">
        <v>0.7</v>
      </c>
      <c r="F25" s="28"/>
      <c r="G25" s="28"/>
      <c r="H25" s="27" t="s">
        <v>308</v>
      </c>
      <c r="I25" s="358" t="s">
        <v>354</v>
      </c>
      <c r="J25" s="28"/>
      <c r="K25" s="20"/>
      <c r="L25" s="19"/>
      <c r="M25" s="19"/>
      <c r="N25" s="19"/>
      <c r="O25" s="20"/>
      <c r="P25" s="867"/>
      <c r="Q25" s="867"/>
      <c r="R25" s="867"/>
      <c r="S25" s="3"/>
      <c r="T25" s="3"/>
      <c r="U25" s="3"/>
      <c r="V25" s="3"/>
      <c r="W25" s="3"/>
      <c r="X25" s="3"/>
      <c r="Y25" s="3"/>
      <c r="Z25" s="3"/>
      <c r="AA25" s="3"/>
      <c r="AB25" s="3"/>
      <c r="AC25" s="3"/>
      <c r="AD25" s="3"/>
      <c r="AE25" s="3"/>
      <c r="AF25" s="3"/>
      <c r="AG25" s="3"/>
      <c r="AH25" s="3"/>
      <c r="AI25" s="3"/>
      <c r="AJ25" s="3"/>
      <c r="AK25" s="3"/>
      <c r="AL25" s="3"/>
    </row>
    <row r="26" spans="1:38" ht="15.75" customHeight="1">
      <c r="A26" s="3"/>
      <c r="B26" s="800"/>
      <c r="C26" s="20"/>
      <c r="D26" s="27" t="s">
        <v>355</v>
      </c>
      <c r="E26" s="348">
        <v>0.8</v>
      </c>
      <c r="F26" s="27"/>
      <c r="G26" s="27"/>
      <c r="H26" s="27" t="s">
        <v>338</v>
      </c>
      <c r="I26" s="358"/>
      <c r="J26" s="27"/>
      <c r="K26" s="20"/>
      <c r="L26" s="19"/>
      <c r="M26" s="19"/>
      <c r="N26" s="19"/>
      <c r="O26" s="20"/>
      <c r="P26" s="19"/>
      <c r="Q26" s="19"/>
      <c r="R26" s="19"/>
      <c r="S26" s="3"/>
      <c r="T26" s="3"/>
      <c r="U26" s="3"/>
      <c r="V26" s="3"/>
      <c r="W26" s="3"/>
      <c r="X26" s="3"/>
      <c r="Y26" s="3"/>
      <c r="Z26" s="3"/>
      <c r="AA26" s="3"/>
      <c r="AB26" s="3"/>
      <c r="AC26" s="3"/>
      <c r="AD26" s="3"/>
      <c r="AE26" s="3"/>
      <c r="AF26" s="3"/>
      <c r="AG26" s="3"/>
      <c r="AH26" s="3"/>
      <c r="AI26" s="3"/>
      <c r="AJ26" s="3"/>
      <c r="AK26" s="3"/>
      <c r="AL26" s="3"/>
    </row>
    <row r="27" spans="1:38" ht="15.75" customHeight="1">
      <c r="A27" s="3"/>
      <c r="B27" s="800"/>
      <c r="C27" s="20"/>
      <c r="D27" s="44" t="s">
        <v>356</v>
      </c>
      <c r="E27" s="108">
        <f>(E26-E25)/E25</f>
        <v>0.14285714285714299</v>
      </c>
      <c r="F27" s="27"/>
      <c r="G27" s="27"/>
      <c r="H27" s="27"/>
      <c r="I27" s="27"/>
      <c r="J27" s="27"/>
      <c r="K27" s="20"/>
      <c r="L27" s="19"/>
      <c r="M27" s="19"/>
      <c r="N27" s="19"/>
      <c r="O27" s="20"/>
      <c r="P27" s="19"/>
      <c r="Q27" s="19"/>
      <c r="R27" s="19"/>
      <c r="S27" s="3"/>
      <c r="T27" s="3"/>
      <c r="U27" s="3"/>
      <c r="V27" s="3"/>
      <c r="W27" s="3"/>
      <c r="X27" s="3"/>
      <c r="Y27" s="3"/>
      <c r="Z27" s="3"/>
      <c r="AA27" s="3"/>
      <c r="AB27" s="3"/>
      <c r="AC27" s="3"/>
      <c r="AD27" s="3"/>
      <c r="AE27" s="3"/>
      <c r="AF27" s="3"/>
      <c r="AG27" s="3"/>
      <c r="AH27" s="3"/>
      <c r="AI27" s="3"/>
      <c r="AJ27" s="3"/>
      <c r="AK27" s="3"/>
      <c r="AL27" s="3"/>
    </row>
    <row r="28" spans="1:38" ht="15.75" customHeight="1">
      <c r="A28" s="3"/>
      <c r="B28" s="801"/>
      <c r="C28" s="20"/>
      <c r="D28" s="27"/>
      <c r="E28" s="27"/>
      <c r="F28" s="27"/>
      <c r="G28" s="27"/>
      <c r="H28" s="27"/>
      <c r="I28" s="27"/>
      <c r="J28" s="27"/>
      <c r="K28" s="20"/>
      <c r="L28" s="19"/>
      <c r="M28" s="19"/>
      <c r="N28" s="19"/>
      <c r="O28" s="20"/>
      <c r="P28" s="19"/>
      <c r="Q28" s="19"/>
      <c r="R28" s="19"/>
      <c r="S28" s="3"/>
      <c r="T28" s="3"/>
      <c r="U28" s="3"/>
      <c r="V28" s="3"/>
      <c r="W28" s="3"/>
      <c r="X28" s="3"/>
      <c r="Y28" s="3"/>
      <c r="Z28" s="3"/>
      <c r="AA28" s="3"/>
      <c r="AB28" s="3"/>
      <c r="AC28" s="3"/>
      <c r="AD28" s="3"/>
      <c r="AE28" s="3"/>
      <c r="AF28" s="3"/>
      <c r="AG28" s="3"/>
      <c r="AH28" s="3"/>
      <c r="AI28" s="3"/>
      <c r="AJ28" s="3"/>
      <c r="AK28" s="3"/>
      <c r="AL28" s="3"/>
    </row>
    <row r="29" spans="1:38" ht="15.7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row>
    <row r="30" spans="1:38" ht="15.7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row>
    <row r="31" spans="1:38" ht="15.75"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row>
    <row r="32" spans="1:38" ht="15.7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row>
    <row r="33" spans="1:38" ht="15.7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row>
    <row r="34" spans="1:38" ht="15.75"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row>
    <row r="35" spans="1:38" ht="15.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row>
    <row r="36" spans="1:38" ht="15.7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row>
    <row r="37" spans="1:38" ht="15.7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row>
    <row r="38" spans="1:38" ht="15.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row>
    <row r="39" spans="1:38" ht="15.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row>
    <row r="40" spans="1:38" ht="15.7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row>
    <row r="41" spans="1:38" ht="15.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row>
    <row r="42" spans="1:38" ht="15.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row>
    <row r="43" spans="1:38" ht="15.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row>
    <row r="44" spans="1:38" ht="15.7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row>
    <row r="45" spans="1:38" ht="15.7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row>
    <row r="46" spans="1:38" ht="15.7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row>
    <row r="47" spans="1:38" ht="15.7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row>
    <row r="48" spans="1:38" ht="15.7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row>
    <row r="49" spans="1:38" ht="15.7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row>
    <row r="50" spans="1:38" ht="15.7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row>
    <row r="51" spans="1:38" ht="15.7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row>
    <row r="52" spans="1:38" ht="15.7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row>
    <row r="53" spans="1:38" ht="15.7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row>
    <row r="54" spans="1:38" ht="15.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row>
    <row r="55" spans="1:38" ht="15.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row>
    <row r="56" spans="1:38" ht="15.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row>
    <row r="57" spans="1:38" ht="15.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row>
    <row r="58" spans="1:38" ht="15.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row>
    <row r="59" spans="1:38" ht="15.7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row>
    <row r="60" spans="1:38" ht="15.7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row>
    <row r="61" spans="1:38" ht="15.7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row>
    <row r="62" spans="1:38" ht="15.7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row>
    <row r="63" spans="1:38" ht="15.7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row>
    <row r="64" spans="1:38" ht="15.7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row>
    <row r="65" spans="1:38"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row>
    <row r="66" spans="1:38"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row>
    <row r="67" spans="1:38"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row>
    <row r="68" spans="1:38"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row>
    <row r="69" spans="1:38"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row>
    <row r="70" spans="1:38"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row>
    <row r="71" spans="1:38"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row>
    <row r="72" spans="1:38"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row>
    <row r="73" spans="1:38"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row>
    <row r="74" spans="1:38"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row>
    <row r="75" spans="1:38"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row>
    <row r="76" spans="1:38"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row>
    <row r="77" spans="1:38"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row>
    <row r="78" spans="1:38"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row>
    <row r="79" spans="1:38"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row>
    <row r="80" spans="1:38"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row>
    <row r="81" spans="1:38"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row>
    <row r="82" spans="1:38"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row>
    <row r="83" spans="1:38"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row>
    <row r="84" spans="1:38"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row>
    <row r="85" spans="1:38"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row>
    <row r="86" spans="1:38"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row>
    <row r="87" spans="1:38"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row>
    <row r="88" spans="1:38"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row>
    <row r="89" spans="1:38"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row>
    <row r="90" spans="1:38"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row>
    <row r="91" spans="1:38"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row>
    <row r="92" spans="1:38"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row>
    <row r="93" spans="1:38"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row>
    <row r="94" spans="1:38"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row>
    <row r="95" spans="1:38"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row>
    <row r="96" spans="1:38"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row>
    <row r="97" spans="1:38"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row>
    <row r="98" spans="1:38"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row>
    <row r="99" spans="1:38"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row>
    <row r="100" spans="1:38"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row>
    <row r="101" spans="1:38"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row>
    <row r="102" spans="1:38"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row>
    <row r="103" spans="1:38"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row>
    <row r="104" spans="1:38"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row>
    <row r="105" spans="1:38"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row>
    <row r="106" spans="1:38"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row>
    <row r="107" spans="1:38"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row>
    <row r="108" spans="1:38"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row>
    <row r="109" spans="1:38"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row>
    <row r="110" spans="1:38"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row>
    <row r="111" spans="1:38"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row>
    <row r="112" spans="1:38"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row>
    <row r="113" spans="1:38"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row>
    <row r="114" spans="1:38"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row>
    <row r="115" spans="1:38"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row>
    <row r="116" spans="1:38"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row>
    <row r="117" spans="1:38"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row>
    <row r="118" spans="1:38"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row>
    <row r="119" spans="1:38"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row>
    <row r="120" spans="1:38"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row>
    <row r="121" spans="1:38"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row>
    <row r="122" spans="1:38"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row>
    <row r="123" spans="1:38"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row>
    <row r="124" spans="1:38"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row>
    <row r="125" spans="1:38"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row>
    <row r="126" spans="1:38"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row>
    <row r="127" spans="1:38"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row>
    <row r="128" spans="1:38"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row>
    <row r="129" spans="1:38"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row>
    <row r="130" spans="1:38"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row>
    <row r="131" spans="1:38"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row>
    <row r="132" spans="1:38"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row>
    <row r="133" spans="1:38"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row>
    <row r="134" spans="1:38"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row>
    <row r="135" spans="1:38"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row>
    <row r="136" spans="1:38"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row>
    <row r="137" spans="1:38"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row>
    <row r="138" spans="1:38"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row>
    <row r="139" spans="1:38"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row>
    <row r="140" spans="1:38"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row>
    <row r="141" spans="1:38"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row>
    <row r="142" spans="1:38"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row>
    <row r="143" spans="1:38"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row>
    <row r="144" spans="1:38"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row>
    <row r="145" spans="1:38"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row>
    <row r="146" spans="1:38"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row>
    <row r="147" spans="1:38"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row>
    <row r="148" spans="1:38"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row>
    <row r="149" spans="1:38"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row>
    <row r="150" spans="1:38"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row>
    <row r="151" spans="1:38"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row>
    <row r="152" spans="1:38"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row>
    <row r="153" spans="1:38"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row>
    <row r="154" spans="1:38"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row>
    <row r="155" spans="1:38"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row>
    <row r="156" spans="1:38"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row>
    <row r="157" spans="1:38"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row>
    <row r="158" spans="1:38"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row>
    <row r="159" spans="1:38"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row>
    <row r="160" spans="1:38"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row>
    <row r="161" spans="1:38"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row>
    <row r="162" spans="1:38"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row>
    <row r="163" spans="1:38"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row>
    <row r="164" spans="1:38"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row>
    <row r="165" spans="1:38"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row>
    <row r="166" spans="1:38"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row>
    <row r="167" spans="1:38"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row>
    <row r="168" spans="1:38"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row>
    <row r="169" spans="1:38"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row>
    <row r="170" spans="1:38"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row>
    <row r="171" spans="1:38"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row>
    <row r="172" spans="1:38"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row>
    <row r="173" spans="1:38"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row>
    <row r="174" spans="1:38"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row>
    <row r="175" spans="1:38"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row>
    <row r="176" spans="1:38"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row>
    <row r="177" spans="1:38"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row>
    <row r="178" spans="1:38"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row>
    <row r="179" spans="1:38"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row>
    <row r="180" spans="1:38"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row>
    <row r="181" spans="1:38"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row>
    <row r="182" spans="1:38"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row>
    <row r="183" spans="1:38"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row>
    <row r="184" spans="1:38"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row>
    <row r="185" spans="1:38"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row>
    <row r="186" spans="1:38"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row>
    <row r="187" spans="1:38"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row>
    <row r="188" spans="1:38"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row>
    <row r="189" spans="1:38"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row>
    <row r="190" spans="1:38"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row>
    <row r="191" spans="1:38"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row>
    <row r="192" spans="1:38"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row>
    <row r="193" spans="1:38"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row>
    <row r="194" spans="1:38"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row>
    <row r="195" spans="1:38"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row>
    <row r="196" spans="1:38"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row>
    <row r="197" spans="1:38"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row>
    <row r="198" spans="1:38"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row>
    <row r="199" spans="1:38"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row>
    <row r="200" spans="1:38"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row>
    <row r="201" spans="1:38"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row>
    <row r="202" spans="1:38"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row>
    <row r="203" spans="1:38"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row>
    <row r="204" spans="1:38"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row>
    <row r="205" spans="1:38"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row>
    <row r="206" spans="1:38"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row>
    <row r="207" spans="1:38"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row>
    <row r="208" spans="1:38"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row>
    <row r="209" spans="1:38"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row>
    <row r="210" spans="1:38"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row>
    <row r="211" spans="1:38"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row>
    <row r="212" spans="1:38"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row>
    <row r="213" spans="1:38"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row>
    <row r="214" spans="1:38"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row>
    <row r="215" spans="1:38"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row>
    <row r="216" spans="1:38"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row>
    <row r="217" spans="1:38"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row>
    <row r="218" spans="1:38"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row>
    <row r="219" spans="1:38"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row>
    <row r="220" spans="1:38"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row>
    <row r="221" spans="1:38"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row>
    <row r="222" spans="1:38"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row>
    <row r="223" spans="1:38"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row>
    <row r="224" spans="1:38"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row>
    <row r="225" spans="1:38"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row>
    <row r="226" spans="1:38"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row>
    <row r="227" spans="1:38"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row>
    <row r="228" spans="1:38" ht="15.75" customHeight="1"/>
    <row r="229" spans="1:38" ht="15.75" customHeight="1"/>
    <row r="230" spans="1:38" ht="15.75" customHeight="1"/>
    <row r="231" spans="1:38" ht="15.75" customHeight="1"/>
    <row r="232" spans="1:38" ht="15.75" customHeight="1"/>
    <row r="233" spans="1:38" ht="15.75" customHeight="1"/>
    <row r="234" spans="1:38" ht="15.75" customHeight="1"/>
    <row r="235" spans="1:38" ht="15.75" customHeight="1"/>
    <row r="236" spans="1:38" ht="15.75" customHeight="1"/>
    <row r="237" spans="1:38" ht="15.75" customHeight="1"/>
    <row r="238" spans="1:38" ht="15.75" customHeight="1"/>
    <row r="239" spans="1:38" ht="15.75" customHeight="1"/>
    <row r="240" spans="1:38"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JN2r80B8olRP5rdPcmESgwHY4IOCiiECFwELnrTJ995QYJ9XiFamwXsQNKJS7KKP7R+7CE6OoBNtCgaf/1Sk+g==" saltValue="GUmsums9BM3ryeSVfYcfUw==" spinCount="100000" sheet="1" objects="1" scenarios="1"/>
  <mergeCells count="6">
    <mergeCell ref="P24:R25"/>
    <mergeCell ref="D3:H3"/>
    <mergeCell ref="B11:B21"/>
    <mergeCell ref="L11:N12"/>
    <mergeCell ref="B23:B28"/>
    <mergeCell ref="B4:B9"/>
  </mergeCells>
  <hyperlinks>
    <hyperlink ref="P6" r:id="rId1" xr:uid="{EE3E141B-A5A3-4160-A4B2-AE2127C58F78}"/>
    <hyperlink ref="P24" r:id="rId2" xr:uid="{59B6F270-3B16-4DB3-8C6F-96C6F3934071}"/>
  </hyperlinks>
  <pageMargins left="0.7" right="0.7" top="0.75" bottom="0.75" header="0" footer="0"/>
  <pageSetup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AN1002"/>
  <sheetViews>
    <sheetView zoomScale="90" zoomScaleNormal="90" workbookViewId="0">
      <pane ySplit="3" topLeftCell="A16" activePane="bottomLeft" state="frozen"/>
      <selection pane="bottomLeft" activeCell="R42" sqref="R42"/>
    </sheetView>
  </sheetViews>
  <sheetFormatPr defaultColWidth="14.42578125" defaultRowHeight="15" customHeight="1"/>
  <cols>
    <col min="1" max="1" width="4.28515625" customWidth="1"/>
    <col min="2" max="2" width="27.28515625" customWidth="1"/>
    <col min="3" max="3" width="2.85546875" customWidth="1"/>
    <col min="4" max="4" width="30.42578125" customWidth="1"/>
    <col min="5" max="5" width="13.42578125" customWidth="1"/>
    <col min="6" max="8" width="14" customWidth="1"/>
    <col min="9" max="9" width="13.7109375" customWidth="1"/>
    <col min="10" max="10" width="14" customWidth="1"/>
    <col min="11" max="11" width="13.140625" customWidth="1"/>
    <col min="12" max="12" width="13.5703125" customWidth="1"/>
    <col min="13" max="13" width="15.85546875" customWidth="1"/>
    <col min="14" max="14" width="14" customWidth="1"/>
    <col min="15" max="15" width="4.5703125" customWidth="1"/>
    <col min="16" max="16" width="3.140625" customWidth="1"/>
    <col min="17" max="17" width="14.42578125" customWidth="1"/>
    <col min="18" max="18" width="19.7109375" customWidth="1"/>
    <col min="19" max="19" width="2.140625" customWidth="1"/>
    <col min="20" max="21" width="16.7109375" customWidth="1"/>
    <col min="22" max="22" width="4.7109375" customWidth="1"/>
  </cols>
  <sheetData>
    <row r="1" spans="1:40" ht="51" customHeight="1">
      <c r="A1" s="52" t="s">
        <v>428</v>
      </c>
      <c r="B1" s="52"/>
      <c r="C1" s="52"/>
      <c r="D1" s="52"/>
      <c r="E1" s="17"/>
      <c r="F1" s="17"/>
      <c r="G1" s="17"/>
      <c r="H1" s="17"/>
      <c r="I1" s="17"/>
      <c r="J1" s="17"/>
      <c r="K1" s="17"/>
      <c r="L1" s="17"/>
      <c r="M1" s="17"/>
      <c r="N1" s="17"/>
      <c r="O1" s="17"/>
      <c r="P1" s="17"/>
      <c r="Q1" s="17"/>
      <c r="R1" s="17"/>
      <c r="S1" s="17"/>
      <c r="T1" s="17"/>
      <c r="U1" s="17"/>
      <c r="V1" s="129"/>
      <c r="W1" s="3"/>
      <c r="X1" s="3"/>
      <c r="Y1" s="3"/>
      <c r="Z1" s="3"/>
      <c r="AA1" s="3"/>
      <c r="AB1" s="3"/>
      <c r="AC1" s="3"/>
      <c r="AD1" s="3"/>
      <c r="AE1" s="3"/>
      <c r="AF1" s="3"/>
      <c r="AG1" s="3"/>
      <c r="AH1" s="3"/>
      <c r="AI1" s="3"/>
      <c r="AJ1" s="3"/>
      <c r="AK1" s="3"/>
      <c r="AL1" s="3"/>
      <c r="AM1" s="3"/>
      <c r="AN1" s="3"/>
    </row>
    <row r="2" spans="1:40">
      <c r="A2" s="3"/>
      <c r="B2" s="3"/>
      <c r="C2" s="3"/>
      <c r="D2" s="87"/>
      <c r="E2" s="89"/>
      <c r="F2" s="3"/>
      <c r="G2" s="3"/>
      <c r="H2" s="3"/>
      <c r="I2" s="3"/>
      <c r="J2" s="3"/>
      <c r="K2" s="3"/>
      <c r="L2" s="3"/>
      <c r="M2" s="3"/>
      <c r="N2" s="3"/>
      <c r="O2" s="3"/>
      <c r="P2" s="3"/>
      <c r="Q2" s="3"/>
      <c r="R2" s="3"/>
      <c r="S2" s="3"/>
      <c r="T2" s="3"/>
      <c r="U2" s="3"/>
      <c r="V2" s="131"/>
      <c r="W2" s="3"/>
      <c r="X2" s="3"/>
      <c r="Y2" s="3"/>
      <c r="Z2" s="3"/>
      <c r="AA2" s="3"/>
      <c r="AB2" s="3"/>
      <c r="AC2" s="3"/>
      <c r="AD2" s="3"/>
      <c r="AE2" s="3"/>
      <c r="AF2" s="3"/>
      <c r="AG2" s="3"/>
      <c r="AH2" s="3"/>
      <c r="AI2" s="3"/>
      <c r="AJ2" s="3"/>
      <c r="AK2" s="3"/>
      <c r="AL2" s="3"/>
      <c r="AM2" s="3"/>
      <c r="AN2" s="3"/>
    </row>
    <row r="3" spans="1:40">
      <c r="A3" s="9"/>
      <c r="B3" s="15" t="s">
        <v>5</v>
      </c>
      <c r="C3" s="9"/>
      <c r="D3" s="849" t="s">
        <v>300</v>
      </c>
      <c r="E3" s="716"/>
      <c r="F3" s="716"/>
      <c r="G3" s="716"/>
      <c r="H3" s="717"/>
      <c r="I3" s="9"/>
      <c r="J3" s="9"/>
      <c r="K3" s="9"/>
      <c r="L3" s="15"/>
      <c r="M3" s="9"/>
      <c r="N3" s="9"/>
      <c r="O3" s="9"/>
      <c r="P3" s="9"/>
      <c r="Q3" s="15" t="s">
        <v>9</v>
      </c>
      <c r="R3" s="15"/>
      <c r="S3" s="15"/>
      <c r="T3" s="15" t="s">
        <v>10</v>
      </c>
      <c r="U3" s="9"/>
      <c r="V3" s="9"/>
      <c r="W3" s="3"/>
      <c r="X3" s="3"/>
      <c r="Y3" s="3"/>
      <c r="Z3" s="3"/>
      <c r="AA3" s="3"/>
      <c r="AB3" s="3"/>
      <c r="AC3" s="3"/>
      <c r="AD3" s="3"/>
      <c r="AE3" s="3"/>
      <c r="AF3" s="3"/>
      <c r="AG3" s="3"/>
      <c r="AH3" s="3"/>
      <c r="AI3" s="3"/>
      <c r="AJ3" s="3"/>
      <c r="AK3" s="3"/>
      <c r="AL3" s="3"/>
      <c r="AM3" s="3"/>
      <c r="AN3" s="3"/>
    </row>
    <row r="4" spans="1:40">
      <c r="A4" s="3"/>
      <c r="B4" s="799" t="s">
        <v>429</v>
      </c>
      <c r="C4" s="20"/>
      <c r="D4" s="26" t="s">
        <v>430</v>
      </c>
      <c r="E4" s="26"/>
      <c r="F4" s="26"/>
      <c r="G4" s="26"/>
      <c r="H4" s="26"/>
      <c r="I4" s="26"/>
      <c r="J4" s="26"/>
      <c r="K4" s="26"/>
      <c r="L4" s="26"/>
      <c r="M4" s="26"/>
      <c r="N4" s="26"/>
      <c r="O4" s="26"/>
      <c r="P4" s="20"/>
      <c r="Q4" s="860" t="s">
        <v>431</v>
      </c>
      <c r="R4" s="809"/>
      <c r="S4" s="20"/>
      <c r="T4" s="19" t="s">
        <v>432</v>
      </c>
      <c r="U4" s="132"/>
      <c r="V4" s="3"/>
      <c r="W4" s="3"/>
      <c r="X4" s="3"/>
      <c r="Y4" s="3"/>
      <c r="Z4" s="3"/>
      <c r="AA4" s="3"/>
      <c r="AB4" s="3"/>
      <c r="AC4" s="3"/>
      <c r="AD4" s="3"/>
      <c r="AE4" s="3"/>
      <c r="AF4" s="3"/>
      <c r="AG4" s="3"/>
      <c r="AH4" s="3"/>
      <c r="AI4" s="3"/>
      <c r="AJ4" s="3"/>
      <c r="AK4" s="3"/>
      <c r="AL4" s="3"/>
      <c r="AM4" s="3"/>
      <c r="AN4" s="3"/>
    </row>
    <row r="5" spans="1:40">
      <c r="A5" s="3"/>
      <c r="B5" s="800"/>
      <c r="C5" s="20"/>
      <c r="D5" s="50" t="s">
        <v>433</v>
      </c>
      <c r="E5" s="28"/>
      <c r="F5" s="28"/>
      <c r="G5" s="133"/>
      <c r="H5" s="28"/>
      <c r="I5" s="28"/>
      <c r="J5" s="28"/>
      <c r="K5" s="28"/>
      <c r="L5" s="28"/>
      <c r="M5" s="28"/>
      <c r="N5" s="28"/>
      <c r="O5" s="28"/>
      <c r="P5" s="20"/>
      <c r="Q5" s="872"/>
      <c r="R5" s="803"/>
      <c r="S5" s="20"/>
      <c r="T5" s="19"/>
      <c r="U5" s="19"/>
      <c r="V5" s="3"/>
      <c r="W5" s="3"/>
      <c r="X5" s="3"/>
      <c r="Y5" s="3"/>
      <c r="Z5" s="3"/>
      <c r="AA5" s="3"/>
      <c r="AB5" s="3"/>
      <c r="AC5" s="3"/>
      <c r="AD5" s="3"/>
      <c r="AE5" s="3"/>
      <c r="AF5" s="3"/>
      <c r="AG5" s="3"/>
      <c r="AH5" s="3"/>
      <c r="AI5" s="3"/>
      <c r="AJ5" s="3"/>
      <c r="AK5" s="3"/>
      <c r="AL5" s="3"/>
      <c r="AM5" s="3"/>
      <c r="AN5" s="3"/>
    </row>
    <row r="6" spans="1:40">
      <c r="A6" s="3"/>
      <c r="B6" s="800"/>
      <c r="C6" s="20"/>
      <c r="D6" s="28"/>
      <c r="E6" s="44" t="s">
        <v>434</v>
      </c>
      <c r="F6" s="134">
        <f>IF(Introduction!AA99=100%,"",Introduction!O10)</f>
        <v>90</v>
      </c>
      <c r="G6" s="28" t="s">
        <v>435</v>
      </c>
      <c r="H6" s="92"/>
      <c r="I6" s="133"/>
      <c r="J6" s="44" t="s">
        <v>436</v>
      </c>
      <c r="K6" s="134">
        <f>IF(Introduction!AA99=100%,Introduction!N21,Introduction!O11)</f>
        <v>2205000</v>
      </c>
      <c r="L6" s="28" t="s">
        <v>176</v>
      </c>
      <c r="M6" s="28"/>
      <c r="N6" s="28"/>
      <c r="O6" s="28"/>
      <c r="P6" s="20"/>
      <c r="Q6" s="872"/>
      <c r="R6" s="803"/>
      <c r="S6" s="20"/>
      <c r="T6" s="19"/>
      <c r="U6" s="19"/>
      <c r="V6" s="3"/>
      <c r="W6" s="3"/>
      <c r="X6" s="3"/>
      <c r="Y6" s="3"/>
      <c r="Z6" s="3"/>
      <c r="AA6" s="3"/>
      <c r="AB6" s="3"/>
      <c r="AC6" s="3"/>
      <c r="AD6" s="3"/>
      <c r="AE6" s="3"/>
      <c r="AF6" s="3"/>
      <c r="AG6" s="3"/>
      <c r="AH6" s="3"/>
      <c r="AI6" s="3"/>
      <c r="AJ6" s="3"/>
      <c r="AK6" s="3"/>
      <c r="AL6" s="3"/>
      <c r="AM6" s="3"/>
      <c r="AN6" s="3"/>
    </row>
    <row r="7" spans="1:40">
      <c r="A7" s="3"/>
      <c r="B7" s="800"/>
      <c r="C7" s="20"/>
      <c r="D7" s="28"/>
      <c r="E7" s="44" t="s">
        <v>1062</v>
      </c>
      <c r="F7" s="134">
        <f>IF(Introduction!AA99=100%,"",Introduction!O13)</f>
        <v>25.874346216855763</v>
      </c>
      <c r="G7" s="28" t="s">
        <v>440</v>
      </c>
      <c r="H7" s="139"/>
      <c r="I7" s="133"/>
      <c r="J7" s="44" t="s">
        <v>1063</v>
      </c>
      <c r="K7" s="134">
        <f>IF(Introduction!AA99=100%,Introduction!N22,Introduction!O14)</f>
        <v>633921.48231296614</v>
      </c>
      <c r="L7" s="28" t="s">
        <v>441</v>
      </c>
      <c r="M7" s="28"/>
      <c r="N7" s="28"/>
      <c r="O7" s="28"/>
      <c r="P7" s="20"/>
      <c r="Q7" s="872"/>
      <c r="R7" s="803"/>
      <c r="S7" s="20"/>
      <c r="T7" s="19"/>
      <c r="U7" s="19"/>
      <c r="V7" s="3"/>
      <c r="W7" s="3"/>
      <c r="X7" s="3"/>
      <c r="Y7" s="3"/>
      <c r="Z7" s="3"/>
      <c r="AA7" s="3"/>
      <c r="AB7" s="3"/>
      <c r="AC7" s="3"/>
      <c r="AD7" s="3"/>
      <c r="AE7" s="3"/>
      <c r="AF7" s="3"/>
      <c r="AG7" s="3"/>
      <c r="AH7" s="3"/>
      <c r="AI7" s="3"/>
      <c r="AJ7" s="3"/>
      <c r="AK7" s="3"/>
      <c r="AL7" s="3"/>
      <c r="AM7" s="3"/>
      <c r="AN7" s="3"/>
    </row>
    <row r="8" spans="1:40">
      <c r="A8" s="3"/>
      <c r="B8" s="801"/>
      <c r="C8" s="20"/>
      <c r="D8" s="28"/>
      <c r="E8" s="28"/>
      <c r="F8" s="28"/>
      <c r="G8" s="28"/>
      <c r="H8" s="141"/>
      <c r="I8" s="28"/>
      <c r="J8" s="28"/>
      <c r="K8" s="28"/>
      <c r="L8" s="28"/>
      <c r="M8" s="28"/>
      <c r="N8" s="28"/>
      <c r="O8" s="28"/>
      <c r="P8" s="20"/>
      <c r="Q8" s="810"/>
      <c r="R8" s="812"/>
      <c r="S8" s="20"/>
      <c r="T8" s="19"/>
      <c r="U8" s="19"/>
      <c r="V8" s="3"/>
      <c r="W8" s="3"/>
      <c r="X8" s="3"/>
      <c r="Y8" s="3"/>
      <c r="Z8" s="3"/>
      <c r="AA8" s="3"/>
      <c r="AB8" s="3"/>
      <c r="AC8" s="3"/>
      <c r="AD8" s="3"/>
      <c r="AE8" s="3"/>
      <c r="AF8" s="3"/>
      <c r="AG8" s="3"/>
      <c r="AH8" s="3"/>
      <c r="AI8" s="3"/>
      <c r="AJ8" s="3"/>
      <c r="AK8" s="3"/>
      <c r="AL8" s="3"/>
      <c r="AM8" s="3"/>
      <c r="AN8" s="3"/>
    </row>
    <row r="9" spans="1:40">
      <c r="A9" s="3"/>
      <c r="B9" s="20"/>
      <c r="C9" s="20"/>
      <c r="D9" s="20"/>
      <c r="E9" s="20"/>
      <c r="F9" s="20"/>
      <c r="G9" s="20"/>
      <c r="H9" s="20"/>
      <c r="I9" s="20"/>
      <c r="J9" s="20"/>
      <c r="K9" s="20"/>
      <c r="L9" s="20"/>
      <c r="M9" s="20"/>
      <c r="N9" s="20"/>
      <c r="O9" s="20"/>
      <c r="P9" s="20"/>
      <c r="Q9" s="20"/>
      <c r="R9" s="20"/>
      <c r="S9" s="20"/>
      <c r="T9" s="20"/>
      <c r="U9" s="20"/>
      <c r="V9" s="3"/>
      <c r="W9" s="3"/>
      <c r="X9" s="3"/>
      <c r="Y9" s="3"/>
      <c r="Z9" s="3"/>
      <c r="AA9" s="3"/>
      <c r="AB9" s="3"/>
      <c r="AC9" s="3"/>
      <c r="AD9" s="3"/>
      <c r="AE9" s="3"/>
      <c r="AF9" s="3"/>
      <c r="AG9" s="3"/>
      <c r="AH9" s="3"/>
      <c r="AI9" s="3"/>
      <c r="AJ9" s="3"/>
      <c r="AK9" s="3"/>
      <c r="AL9" s="3"/>
      <c r="AM9" s="3"/>
      <c r="AN9" s="3"/>
    </row>
    <row r="10" spans="1:40">
      <c r="A10" s="3"/>
      <c r="B10" s="20"/>
      <c r="C10" s="20"/>
      <c r="D10" s="62" t="s">
        <v>444</v>
      </c>
      <c r="E10" s="20"/>
      <c r="F10" s="20"/>
      <c r="G10" s="20"/>
      <c r="H10" s="20"/>
      <c r="I10" s="20"/>
      <c r="J10" s="20"/>
      <c r="K10" s="20"/>
      <c r="L10" s="20"/>
      <c r="M10" s="20"/>
      <c r="N10" s="20"/>
      <c r="O10" s="20"/>
      <c r="P10" s="20"/>
      <c r="Q10" s="20"/>
      <c r="R10" s="20"/>
      <c r="S10" s="20"/>
      <c r="T10" s="20"/>
      <c r="U10" s="20"/>
      <c r="V10" s="3"/>
      <c r="W10" s="3"/>
      <c r="X10" s="3"/>
      <c r="Y10" s="3"/>
      <c r="Z10" s="3"/>
      <c r="AA10" s="3"/>
      <c r="AB10" s="3"/>
      <c r="AC10" s="3"/>
      <c r="AD10" s="3"/>
      <c r="AE10" s="3"/>
      <c r="AF10" s="3"/>
      <c r="AG10" s="3"/>
      <c r="AH10" s="3"/>
      <c r="AI10" s="3"/>
      <c r="AJ10" s="3"/>
      <c r="AK10" s="3"/>
      <c r="AL10" s="3"/>
      <c r="AM10" s="3"/>
      <c r="AN10" s="3"/>
    </row>
    <row r="11" spans="1:40">
      <c r="A11" s="3"/>
      <c r="B11" s="799" t="s">
        <v>445</v>
      </c>
      <c r="C11" s="20"/>
      <c r="D11" s="28"/>
      <c r="E11" s="28"/>
      <c r="F11" s="28"/>
      <c r="G11" s="28"/>
      <c r="H11" s="28"/>
      <c r="I11" s="28"/>
      <c r="J11" s="28"/>
      <c r="K11" s="28"/>
      <c r="L11" s="28"/>
      <c r="M11" s="28"/>
      <c r="N11" s="28"/>
      <c r="O11" s="28"/>
      <c r="P11" s="20"/>
      <c r="Q11" s="860" t="s">
        <v>446</v>
      </c>
      <c r="R11" s="809"/>
      <c r="S11" s="20"/>
      <c r="T11" s="22" t="str">
        <f>HYPERLINK("https://portfoliomanager.energystar.gov/pdf/reference/Thermal%20Conversions.pdf","EPA - Energy Conversions")</f>
        <v>EPA - Energy Conversions</v>
      </c>
      <c r="U11" s="19"/>
      <c r="V11" s="3"/>
      <c r="W11" s="3"/>
      <c r="X11" s="3"/>
      <c r="Y11" s="3"/>
      <c r="Z11" s="3"/>
      <c r="AA11" s="3"/>
      <c r="AB11" s="3"/>
      <c r="AC11" s="3"/>
      <c r="AD11" s="3"/>
      <c r="AE11" s="3"/>
      <c r="AF11" s="3"/>
      <c r="AG11" s="3"/>
      <c r="AH11" s="3"/>
      <c r="AI11" s="3"/>
      <c r="AJ11" s="3"/>
      <c r="AK11" s="3"/>
      <c r="AL11" s="3"/>
      <c r="AM11" s="3"/>
      <c r="AN11" s="3"/>
    </row>
    <row r="12" spans="1:40">
      <c r="A12" s="3"/>
      <c r="B12" s="800"/>
      <c r="C12" s="20"/>
      <c r="D12" s="28"/>
      <c r="E12" s="828" t="s">
        <v>448</v>
      </c>
      <c r="F12" s="829"/>
      <c r="G12" s="829"/>
      <c r="H12" s="829"/>
      <c r="I12" s="830"/>
      <c r="J12" s="828" t="s">
        <v>442</v>
      </c>
      <c r="K12" s="829"/>
      <c r="L12" s="829"/>
      <c r="M12" s="829"/>
      <c r="N12" s="833"/>
      <c r="O12" s="28"/>
      <c r="P12" s="20"/>
      <c r="Q12" s="872"/>
      <c r="R12" s="803"/>
      <c r="S12" s="20"/>
      <c r="T12" s="22" t="str">
        <f>HYPERLINK("https://www.eia.gov/electricity/monthly/epm_table_grapher.php?t=epmt_5_6_a","EIA - Electricty Costs")</f>
        <v>EIA - Electricty Costs</v>
      </c>
      <c r="U12" s="19"/>
      <c r="V12" s="3"/>
      <c r="W12" s="3"/>
      <c r="X12" s="623"/>
      <c r="Y12" s="623"/>
      <c r="Z12" s="623"/>
      <c r="AA12" s="623"/>
      <c r="AB12" s="623"/>
      <c r="AC12" s="623"/>
      <c r="AD12" s="623"/>
      <c r="AE12" s="3"/>
      <c r="AF12" s="3"/>
      <c r="AG12" s="3"/>
      <c r="AH12" s="3"/>
      <c r="AI12" s="3"/>
      <c r="AJ12" s="3"/>
      <c r="AK12" s="3"/>
      <c r="AL12" s="3"/>
      <c r="AM12" s="3"/>
      <c r="AN12" s="3"/>
    </row>
    <row r="13" spans="1:40" ht="26.25">
      <c r="A13" s="307"/>
      <c r="B13" s="803"/>
      <c r="C13" s="308"/>
      <c r="D13" s="309"/>
      <c r="E13" s="147" t="s">
        <v>915</v>
      </c>
      <c r="F13" s="148" t="s">
        <v>243</v>
      </c>
      <c r="G13" s="148" t="s">
        <v>918</v>
      </c>
      <c r="H13" s="316" t="s">
        <v>920</v>
      </c>
      <c r="I13" s="149" t="s">
        <v>921</v>
      </c>
      <c r="J13" s="147" t="s">
        <v>915</v>
      </c>
      <c r="K13" s="148" t="s">
        <v>243</v>
      </c>
      <c r="L13" s="148" t="s">
        <v>918</v>
      </c>
      <c r="M13" s="148" t="s">
        <v>920</v>
      </c>
      <c r="N13" s="149" t="s">
        <v>921</v>
      </c>
      <c r="O13" s="309"/>
      <c r="P13" s="308"/>
      <c r="Q13" s="803"/>
      <c r="R13" s="803"/>
      <c r="S13" s="308"/>
      <c r="T13" s="310"/>
      <c r="U13" s="311"/>
      <c r="V13" s="307"/>
      <c r="W13" s="307"/>
      <c r="X13" s="623"/>
      <c r="Y13" s="623"/>
      <c r="Z13" s="623"/>
      <c r="AA13" s="623"/>
      <c r="AB13" s="623"/>
      <c r="AC13" s="623"/>
      <c r="AD13" s="623"/>
      <c r="AE13" s="307"/>
      <c r="AF13" s="307"/>
      <c r="AG13" s="307"/>
      <c r="AH13" s="307"/>
      <c r="AI13" s="307"/>
      <c r="AJ13" s="307"/>
      <c r="AK13" s="307"/>
      <c r="AL13" s="307"/>
      <c r="AM13" s="307"/>
      <c r="AN13" s="307"/>
    </row>
    <row r="14" spans="1:40" ht="15.75" thickBot="1">
      <c r="A14" s="3"/>
      <c r="B14" s="800"/>
      <c r="C14" s="20"/>
      <c r="D14" s="146" t="s">
        <v>404</v>
      </c>
      <c r="E14" s="324" t="s">
        <v>914</v>
      </c>
      <c r="F14" s="324" t="s">
        <v>916</v>
      </c>
      <c r="G14" s="324" t="s">
        <v>917</v>
      </c>
      <c r="H14" s="325" t="s">
        <v>919</v>
      </c>
      <c r="I14" s="326" t="s">
        <v>914</v>
      </c>
      <c r="J14" s="324" t="s">
        <v>914</v>
      </c>
      <c r="K14" s="324" t="s">
        <v>916</v>
      </c>
      <c r="L14" s="324" t="s">
        <v>917</v>
      </c>
      <c r="M14" s="325" t="s">
        <v>1122</v>
      </c>
      <c r="N14" s="326" t="s">
        <v>914</v>
      </c>
      <c r="O14" s="28"/>
      <c r="P14" s="20"/>
      <c r="Q14" s="810"/>
      <c r="R14" s="812"/>
      <c r="S14" s="20"/>
      <c r="T14" s="150" t="str">
        <f>HYPERLINK("https://www.eia.gov/dnav/ng/NG_PRI_SUM_DCU_NUS_M.htm","EIA - Natural Gas Costs")</f>
        <v>EIA - Natural Gas Costs</v>
      </c>
      <c r="U14" s="19"/>
      <c r="V14" s="3"/>
      <c r="W14" s="3"/>
      <c r="X14" s="623"/>
      <c r="Y14" s="624"/>
      <c r="Z14" s="624"/>
      <c r="AA14" s="625"/>
      <c r="AB14" s="625"/>
      <c r="AC14" s="624"/>
      <c r="AD14" s="623"/>
      <c r="AE14" s="3"/>
      <c r="AF14" s="3"/>
      <c r="AG14" s="3"/>
      <c r="AH14" s="3"/>
      <c r="AI14" s="3"/>
      <c r="AJ14" s="3"/>
      <c r="AK14" s="3"/>
      <c r="AL14" s="3"/>
      <c r="AM14" s="3"/>
      <c r="AN14" s="3"/>
    </row>
    <row r="15" spans="1:40">
      <c r="A15" s="3"/>
      <c r="B15" s="800"/>
      <c r="C15" s="20"/>
      <c r="D15" s="27" t="s">
        <v>408</v>
      </c>
      <c r="E15" s="323">
        <v>15000</v>
      </c>
      <c r="F15" s="323">
        <v>0</v>
      </c>
      <c r="G15" s="323">
        <v>0</v>
      </c>
      <c r="H15" s="323">
        <v>0</v>
      </c>
      <c r="I15" s="323">
        <v>2500</v>
      </c>
      <c r="J15" s="323">
        <v>12000</v>
      </c>
      <c r="K15" s="323">
        <v>0</v>
      </c>
      <c r="L15" s="359">
        <v>0</v>
      </c>
      <c r="M15" s="359">
        <v>0</v>
      </c>
      <c r="N15" s="323">
        <v>5220</v>
      </c>
      <c r="O15" s="28"/>
      <c r="P15" s="20"/>
      <c r="Q15" s="19"/>
      <c r="R15" s="19"/>
      <c r="S15" s="20"/>
      <c r="T15" s="19"/>
      <c r="U15" s="19"/>
      <c r="V15" s="3"/>
      <c r="W15" s="3"/>
      <c r="X15" s="623"/>
      <c r="Y15" s="624"/>
      <c r="Z15" s="624"/>
      <c r="AA15" s="625"/>
      <c r="AB15" s="625"/>
      <c r="AC15" s="624"/>
      <c r="AD15" s="623"/>
      <c r="AE15" s="3"/>
      <c r="AF15" s="3"/>
      <c r="AG15" s="3"/>
      <c r="AH15" s="3"/>
      <c r="AI15" s="3"/>
      <c r="AJ15" s="3"/>
      <c r="AK15" s="3"/>
      <c r="AL15" s="3"/>
      <c r="AM15" s="3"/>
      <c r="AN15" s="3"/>
    </row>
    <row r="16" spans="1:40">
      <c r="A16" s="3"/>
      <c r="B16" s="800"/>
      <c r="C16" s="20"/>
      <c r="D16" s="27" t="s">
        <v>410</v>
      </c>
      <c r="E16" s="323">
        <v>15000</v>
      </c>
      <c r="F16" s="321">
        <v>0</v>
      </c>
      <c r="G16" s="323">
        <v>0</v>
      </c>
      <c r="H16" s="323">
        <v>0</v>
      </c>
      <c r="I16" s="323">
        <v>2500</v>
      </c>
      <c r="J16" s="321">
        <v>11000</v>
      </c>
      <c r="K16" s="323">
        <v>0</v>
      </c>
      <c r="L16" s="359">
        <v>0</v>
      </c>
      <c r="M16" s="359">
        <v>0</v>
      </c>
      <c r="N16" s="321">
        <v>4660</v>
      </c>
      <c r="O16" s="28"/>
      <c r="P16" s="20"/>
      <c r="Q16" s="19"/>
      <c r="R16" s="19"/>
      <c r="S16" s="20"/>
      <c r="T16" s="19"/>
      <c r="U16" s="19"/>
      <c r="V16" s="3"/>
      <c r="W16" s="3"/>
      <c r="X16" s="623"/>
      <c r="Y16" s="624"/>
      <c r="Z16" s="624"/>
      <c r="AA16" s="625"/>
      <c r="AB16" s="625"/>
      <c r="AC16" s="624"/>
      <c r="AD16" s="623"/>
      <c r="AE16" s="3"/>
      <c r="AF16" s="3"/>
      <c r="AG16" s="3"/>
      <c r="AH16" s="3"/>
      <c r="AI16" s="3"/>
      <c r="AJ16" s="3"/>
      <c r="AK16" s="3"/>
      <c r="AL16" s="3"/>
      <c r="AM16" s="3"/>
      <c r="AN16" s="3"/>
    </row>
    <row r="17" spans="1:40">
      <c r="A17" s="3"/>
      <c r="B17" s="800"/>
      <c r="C17" s="20"/>
      <c r="D17" s="27" t="s">
        <v>412</v>
      </c>
      <c r="E17" s="323">
        <v>15000</v>
      </c>
      <c r="F17" s="321">
        <v>0</v>
      </c>
      <c r="G17" s="323">
        <v>0</v>
      </c>
      <c r="H17" s="323">
        <v>0</v>
      </c>
      <c r="I17" s="323">
        <v>2500</v>
      </c>
      <c r="J17" s="321">
        <v>13500</v>
      </c>
      <c r="K17" s="323">
        <v>0</v>
      </c>
      <c r="L17" s="359">
        <v>0</v>
      </c>
      <c r="M17" s="359">
        <v>0</v>
      </c>
      <c r="N17" s="321">
        <v>5390</v>
      </c>
      <c r="O17" s="28"/>
      <c r="P17" s="20"/>
      <c r="Q17" s="19"/>
      <c r="R17" s="19"/>
      <c r="S17" s="20"/>
      <c r="T17" s="19"/>
      <c r="U17" s="19"/>
      <c r="V17" s="3"/>
      <c r="W17" s="3"/>
      <c r="X17" s="623"/>
      <c r="Y17" s="624"/>
      <c r="Z17" s="624"/>
      <c r="AA17" s="625"/>
      <c r="AB17" s="625"/>
      <c r="AC17" s="624"/>
      <c r="AD17" s="623"/>
      <c r="AE17" s="3"/>
      <c r="AF17" s="3"/>
      <c r="AG17" s="3"/>
      <c r="AH17" s="3"/>
      <c r="AI17" s="3"/>
      <c r="AJ17" s="3"/>
      <c r="AK17" s="3"/>
      <c r="AL17" s="3"/>
      <c r="AM17" s="3"/>
      <c r="AN17" s="3"/>
    </row>
    <row r="18" spans="1:40">
      <c r="A18" s="3"/>
      <c r="B18" s="800"/>
      <c r="C18" s="20"/>
      <c r="D18" s="27" t="s">
        <v>414</v>
      </c>
      <c r="E18" s="323">
        <v>15000</v>
      </c>
      <c r="F18" s="321">
        <v>0</v>
      </c>
      <c r="G18" s="323">
        <v>0</v>
      </c>
      <c r="H18" s="323">
        <v>0</v>
      </c>
      <c r="I18" s="323">
        <v>3000</v>
      </c>
      <c r="J18" s="321">
        <v>14900</v>
      </c>
      <c r="K18" s="323">
        <v>0</v>
      </c>
      <c r="L18" s="359">
        <v>0</v>
      </c>
      <c r="M18" s="359">
        <v>0</v>
      </c>
      <c r="N18" s="321">
        <v>6520</v>
      </c>
      <c r="O18" s="28"/>
      <c r="P18" s="20"/>
      <c r="Q18" s="19"/>
      <c r="R18" s="19"/>
      <c r="S18" s="20"/>
      <c r="T18" s="19"/>
      <c r="U18" s="19"/>
      <c r="V18" s="3"/>
      <c r="W18" s="3"/>
      <c r="X18" s="623"/>
      <c r="Y18" s="624"/>
      <c r="Z18" s="624"/>
      <c r="AA18" s="625"/>
      <c r="AB18" s="625"/>
      <c r="AC18" s="624"/>
      <c r="AD18" s="623"/>
      <c r="AE18" s="3"/>
      <c r="AF18" s="3"/>
      <c r="AG18" s="3"/>
      <c r="AH18" s="3"/>
      <c r="AI18" s="3"/>
      <c r="AJ18" s="3"/>
      <c r="AK18" s="3"/>
      <c r="AL18" s="3"/>
      <c r="AM18" s="3"/>
      <c r="AN18" s="3"/>
    </row>
    <row r="19" spans="1:40">
      <c r="A19" s="3"/>
      <c r="B19" s="800"/>
      <c r="C19" s="20"/>
      <c r="D19" s="27" t="s">
        <v>416</v>
      </c>
      <c r="E19" s="323">
        <v>15000</v>
      </c>
      <c r="F19" s="321">
        <v>0</v>
      </c>
      <c r="G19" s="323">
        <v>0</v>
      </c>
      <c r="H19" s="323">
        <v>0</v>
      </c>
      <c r="I19" s="323">
        <v>3000</v>
      </c>
      <c r="J19" s="321">
        <v>17800</v>
      </c>
      <c r="K19" s="323">
        <v>0</v>
      </c>
      <c r="L19" s="359">
        <v>0</v>
      </c>
      <c r="M19" s="359">
        <v>0</v>
      </c>
      <c r="N19" s="321">
        <v>7240</v>
      </c>
      <c r="O19" s="28"/>
      <c r="P19" s="20"/>
      <c r="Q19" s="19"/>
      <c r="R19" s="19"/>
      <c r="S19" s="20"/>
      <c r="T19" s="19"/>
      <c r="U19" s="19"/>
      <c r="V19" s="3"/>
      <c r="W19" s="3"/>
      <c r="X19" s="623"/>
      <c r="Y19" s="624"/>
      <c r="Z19" s="624"/>
      <c r="AA19" s="625"/>
      <c r="AB19" s="625"/>
      <c r="AC19" s="624"/>
      <c r="AD19" s="623"/>
      <c r="AE19" s="3"/>
      <c r="AF19" s="3"/>
      <c r="AG19" s="3"/>
      <c r="AH19" s="3"/>
      <c r="AI19" s="3"/>
      <c r="AJ19" s="3"/>
      <c r="AK19" s="3"/>
      <c r="AL19" s="3"/>
      <c r="AM19" s="3"/>
      <c r="AN19" s="3"/>
    </row>
    <row r="20" spans="1:40">
      <c r="A20" s="3"/>
      <c r="B20" s="800"/>
      <c r="C20" s="20"/>
      <c r="D20" s="27" t="s">
        <v>417</v>
      </c>
      <c r="E20" s="323">
        <v>15000</v>
      </c>
      <c r="F20" s="321">
        <v>0</v>
      </c>
      <c r="G20" s="323">
        <v>0</v>
      </c>
      <c r="H20" s="323">
        <v>0</v>
      </c>
      <c r="I20" s="323">
        <v>4000</v>
      </c>
      <c r="J20" s="321">
        <v>21300</v>
      </c>
      <c r="K20" s="323">
        <v>0</v>
      </c>
      <c r="L20" s="359">
        <v>0</v>
      </c>
      <c r="M20" s="359">
        <v>0</v>
      </c>
      <c r="N20" s="321">
        <v>8240</v>
      </c>
      <c r="O20" s="28"/>
      <c r="P20" s="20"/>
      <c r="Q20" s="19"/>
      <c r="R20" s="19"/>
      <c r="S20" s="20"/>
      <c r="T20" s="19"/>
      <c r="U20" s="19"/>
      <c r="V20" s="3"/>
      <c r="W20" s="3"/>
      <c r="X20" s="623"/>
      <c r="Y20" s="624"/>
      <c r="Z20" s="624"/>
      <c r="AA20" s="625"/>
      <c r="AB20" s="625"/>
      <c r="AC20" s="624"/>
      <c r="AD20" s="623"/>
      <c r="AE20" s="3"/>
      <c r="AF20" s="3"/>
      <c r="AG20" s="3"/>
      <c r="AH20" s="3"/>
      <c r="AI20" s="3"/>
      <c r="AJ20" s="3"/>
      <c r="AK20" s="3"/>
      <c r="AL20" s="3"/>
      <c r="AM20" s="3"/>
      <c r="AN20" s="3"/>
    </row>
    <row r="21" spans="1:40">
      <c r="A21" s="3"/>
      <c r="B21" s="800"/>
      <c r="C21" s="20"/>
      <c r="D21" s="27" t="s">
        <v>418</v>
      </c>
      <c r="E21" s="323">
        <v>15000</v>
      </c>
      <c r="F21" s="321">
        <v>0</v>
      </c>
      <c r="G21" s="323">
        <v>0</v>
      </c>
      <c r="H21" s="323">
        <v>0</v>
      </c>
      <c r="I21" s="323">
        <v>4000</v>
      </c>
      <c r="J21" s="321">
        <v>24100</v>
      </c>
      <c r="K21" s="323">
        <v>0</v>
      </c>
      <c r="L21" s="359">
        <v>0</v>
      </c>
      <c r="M21" s="359">
        <v>0</v>
      </c>
      <c r="N21" s="321">
        <v>7980</v>
      </c>
      <c r="O21" s="28"/>
      <c r="P21" s="20"/>
      <c r="Q21" s="19"/>
      <c r="R21" s="19"/>
      <c r="S21" s="20"/>
      <c r="T21" s="19"/>
      <c r="U21" s="19"/>
      <c r="V21" s="3"/>
      <c r="W21" s="3"/>
      <c r="X21" s="623"/>
      <c r="Y21" s="624"/>
      <c r="Z21" s="624"/>
      <c r="AA21" s="625"/>
      <c r="AB21" s="625"/>
      <c r="AC21" s="624"/>
      <c r="AD21" s="623"/>
      <c r="AE21" s="3"/>
      <c r="AF21" s="3"/>
      <c r="AG21" s="3"/>
      <c r="AH21" s="3"/>
      <c r="AI21" s="3"/>
      <c r="AJ21" s="3"/>
      <c r="AK21" s="3"/>
      <c r="AL21" s="3"/>
      <c r="AM21" s="3"/>
      <c r="AN21" s="3"/>
    </row>
    <row r="22" spans="1:40" ht="15.75" customHeight="1">
      <c r="A22" s="3"/>
      <c r="B22" s="800"/>
      <c r="C22" s="20"/>
      <c r="D22" s="27" t="s">
        <v>420</v>
      </c>
      <c r="E22" s="323">
        <v>15000</v>
      </c>
      <c r="F22" s="321">
        <v>0</v>
      </c>
      <c r="G22" s="323">
        <v>0</v>
      </c>
      <c r="H22" s="323">
        <v>0</v>
      </c>
      <c r="I22" s="323">
        <v>3000</v>
      </c>
      <c r="J22" s="321">
        <v>21800</v>
      </c>
      <c r="K22" s="323">
        <v>0</v>
      </c>
      <c r="L22" s="359">
        <v>0</v>
      </c>
      <c r="M22" s="359">
        <v>0</v>
      </c>
      <c r="N22" s="321">
        <v>6570</v>
      </c>
      <c r="O22" s="28"/>
      <c r="P22" s="20"/>
      <c r="Q22" s="19"/>
      <c r="R22" s="19"/>
      <c r="S22" s="20"/>
      <c r="T22" s="19"/>
      <c r="U22" s="19"/>
      <c r="V22" s="3"/>
      <c r="W22" s="3"/>
      <c r="X22" s="623"/>
      <c r="Y22" s="624"/>
      <c r="Z22" s="624"/>
      <c r="AA22" s="625"/>
      <c r="AB22" s="625"/>
      <c r="AC22" s="624"/>
      <c r="AD22" s="623"/>
      <c r="AE22" s="3"/>
      <c r="AF22" s="3"/>
      <c r="AG22" s="3"/>
      <c r="AH22" s="3"/>
      <c r="AI22" s="3"/>
      <c r="AJ22" s="3"/>
      <c r="AK22" s="3"/>
      <c r="AL22" s="3"/>
      <c r="AM22" s="3"/>
      <c r="AN22" s="3"/>
    </row>
    <row r="23" spans="1:40" ht="15.75" customHeight="1">
      <c r="A23" s="3"/>
      <c r="B23" s="800"/>
      <c r="C23" s="20"/>
      <c r="D23" s="27" t="s">
        <v>422</v>
      </c>
      <c r="E23" s="323">
        <v>15000</v>
      </c>
      <c r="F23" s="321">
        <v>0</v>
      </c>
      <c r="G23" s="323">
        <v>0</v>
      </c>
      <c r="H23" s="323">
        <v>0</v>
      </c>
      <c r="I23" s="323">
        <v>3000</v>
      </c>
      <c r="J23" s="321">
        <v>19400</v>
      </c>
      <c r="K23" s="323">
        <v>0</v>
      </c>
      <c r="L23" s="359">
        <v>0</v>
      </c>
      <c r="M23" s="359">
        <v>0</v>
      </c>
      <c r="N23" s="321">
        <v>6230</v>
      </c>
      <c r="O23" s="28"/>
      <c r="P23" s="20"/>
      <c r="Q23" s="19"/>
      <c r="R23" s="19"/>
      <c r="S23" s="20"/>
      <c r="T23" s="19"/>
      <c r="U23" s="19"/>
      <c r="V23" s="3"/>
      <c r="W23" s="3"/>
      <c r="X23" s="623"/>
      <c r="Y23" s="624"/>
      <c r="Z23" s="624"/>
      <c r="AA23" s="625"/>
      <c r="AB23" s="625"/>
      <c r="AC23" s="624"/>
      <c r="AD23" s="623"/>
      <c r="AE23" s="3"/>
      <c r="AF23" s="3"/>
      <c r="AG23" s="3"/>
      <c r="AH23" s="3"/>
      <c r="AI23" s="3"/>
      <c r="AJ23" s="3"/>
      <c r="AK23" s="3"/>
      <c r="AL23" s="3"/>
      <c r="AM23" s="3"/>
      <c r="AN23" s="3"/>
    </row>
    <row r="24" spans="1:40" ht="15.75" customHeight="1">
      <c r="A24" s="3"/>
      <c r="B24" s="800"/>
      <c r="C24" s="20"/>
      <c r="D24" s="27" t="s">
        <v>424</v>
      </c>
      <c r="E24" s="323">
        <v>15000</v>
      </c>
      <c r="F24" s="321">
        <v>0</v>
      </c>
      <c r="G24" s="323">
        <v>0</v>
      </c>
      <c r="H24" s="323">
        <v>0</v>
      </c>
      <c r="I24" s="323">
        <v>2500</v>
      </c>
      <c r="J24" s="321">
        <v>16700</v>
      </c>
      <c r="K24" s="323">
        <v>0</v>
      </c>
      <c r="L24" s="359">
        <v>0</v>
      </c>
      <c r="M24" s="359">
        <v>0</v>
      </c>
      <c r="N24" s="321">
        <v>6930</v>
      </c>
      <c r="O24" s="28"/>
      <c r="P24" s="20"/>
      <c r="Q24" s="19"/>
      <c r="R24" s="19"/>
      <c r="S24" s="20"/>
      <c r="T24" s="19"/>
      <c r="U24" s="19"/>
      <c r="V24" s="3"/>
      <c r="W24" s="3"/>
      <c r="X24" s="623"/>
      <c r="Y24" s="624"/>
      <c r="Z24" s="624"/>
      <c r="AA24" s="625"/>
      <c r="AB24" s="625"/>
      <c r="AC24" s="624"/>
      <c r="AD24" s="623"/>
      <c r="AE24" s="3"/>
      <c r="AF24" s="3"/>
      <c r="AG24" s="3"/>
      <c r="AH24" s="3"/>
      <c r="AI24" s="3"/>
      <c r="AJ24" s="3"/>
      <c r="AK24" s="3"/>
      <c r="AL24" s="3"/>
      <c r="AM24" s="3"/>
      <c r="AN24" s="3"/>
    </row>
    <row r="25" spans="1:40" ht="15.75" customHeight="1">
      <c r="A25" s="3"/>
      <c r="B25" s="800"/>
      <c r="C25" s="20"/>
      <c r="D25" s="27" t="s">
        <v>425</v>
      </c>
      <c r="E25" s="323">
        <v>15000</v>
      </c>
      <c r="F25" s="321">
        <v>0</v>
      </c>
      <c r="G25" s="323">
        <v>0</v>
      </c>
      <c r="H25" s="323">
        <v>0</v>
      </c>
      <c r="I25" s="323">
        <v>2500</v>
      </c>
      <c r="J25" s="321">
        <v>13300</v>
      </c>
      <c r="K25" s="323">
        <v>0</v>
      </c>
      <c r="L25" s="359">
        <v>0</v>
      </c>
      <c r="M25" s="359">
        <v>0</v>
      </c>
      <c r="N25" s="321">
        <v>4850</v>
      </c>
      <c r="O25" s="28"/>
      <c r="P25" s="20"/>
      <c r="Q25" s="19"/>
      <c r="R25" s="19"/>
      <c r="S25" s="20"/>
      <c r="T25" s="19"/>
      <c r="U25" s="19"/>
      <c r="V25" s="3"/>
      <c r="W25" s="3"/>
      <c r="X25" s="623"/>
      <c r="Y25" s="624"/>
      <c r="Z25" s="624"/>
      <c r="AA25" s="625"/>
      <c r="AB25" s="625"/>
      <c r="AC25" s="624"/>
      <c r="AD25" s="623"/>
      <c r="AE25" s="3"/>
      <c r="AF25" s="3"/>
      <c r="AG25" s="3"/>
      <c r="AH25" s="3"/>
      <c r="AI25" s="3"/>
      <c r="AJ25" s="3"/>
      <c r="AK25" s="3"/>
      <c r="AL25" s="3"/>
      <c r="AM25" s="3"/>
      <c r="AN25" s="3"/>
    </row>
    <row r="26" spans="1:40" ht="15.75" customHeight="1">
      <c r="A26" s="3"/>
      <c r="B26" s="800"/>
      <c r="C26" s="20"/>
      <c r="D26" s="36" t="s">
        <v>426</v>
      </c>
      <c r="E26" s="323">
        <v>15000</v>
      </c>
      <c r="F26" s="321">
        <v>0</v>
      </c>
      <c r="G26" s="323">
        <v>0</v>
      </c>
      <c r="H26" s="323">
        <v>0</v>
      </c>
      <c r="I26" s="323">
        <v>2500</v>
      </c>
      <c r="J26" s="321">
        <v>12200</v>
      </c>
      <c r="K26" s="323">
        <v>0</v>
      </c>
      <c r="L26" s="359">
        <v>0</v>
      </c>
      <c r="M26" s="359">
        <v>0</v>
      </c>
      <c r="N26" s="321">
        <v>3610</v>
      </c>
      <c r="O26" s="28"/>
      <c r="P26" s="20"/>
      <c r="Q26" s="19"/>
      <c r="R26" s="19"/>
      <c r="S26" s="20"/>
      <c r="T26" s="19"/>
      <c r="U26" s="19"/>
      <c r="V26" s="3"/>
      <c r="W26" s="3"/>
      <c r="X26" s="623"/>
      <c r="Y26" s="623"/>
      <c r="Z26" s="623"/>
      <c r="AA26" s="623"/>
      <c r="AB26" s="623"/>
      <c r="AC26" s="623"/>
      <c r="AD26" s="623"/>
      <c r="AE26" s="3"/>
      <c r="AF26" s="3"/>
      <c r="AG26" s="3"/>
      <c r="AH26" s="3"/>
      <c r="AI26" s="3"/>
      <c r="AJ26" s="3"/>
      <c r="AK26" s="3"/>
      <c r="AL26" s="3"/>
      <c r="AM26" s="3"/>
      <c r="AN26" s="3"/>
    </row>
    <row r="27" spans="1:40" ht="15.75" customHeight="1" thickBot="1">
      <c r="A27" s="307"/>
      <c r="B27" s="803"/>
      <c r="C27" s="308"/>
      <c r="D27" s="315" t="s">
        <v>39</v>
      </c>
      <c r="E27" s="312">
        <f t="shared" ref="E27:N27" si="0">SUM(E15:E26)</f>
        <v>180000</v>
      </c>
      <c r="F27" s="312">
        <f t="shared" si="0"/>
        <v>0</v>
      </c>
      <c r="G27" s="312">
        <f t="shared" si="0"/>
        <v>0</v>
      </c>
      <c r="H27" s="312">
        <f t="shared" si="0"/>
        <v>0</v>
      </c>
      <c r="I27" s="312">
        <f t="shared" si="0"/>
        <v>35000</v>
      </c>
      <c r="J27" s="312">
        <f t="shared" si="0"/>
        <v>198000</v>
      </c>
      <c r="K27" s="312">
        <f t="shared" si="0"/>
        <v>0</v>
      </c>
      <c r="L27" s="312">
        <f t="shared" si="0"/>
        <v>0</v>
      </c>
      <c r="M27" s="312">
        <f t="shared" si="0"/>
        <v>0</v>
      </c>
      <c r="N27" s="312">
        <f t="shared" si="0"/>
        <v>73440</v>
      </c>
      <c r="O27" s="309"/>
      <c r="P27" s="308"/>
      <c r="Q27" s="311"/>
      <c r="R27" s="311"/>
      <c r="S27" s="308"/>
      <c r="T27" s="311"/>
      <c r="U27" s="311"/>
      <c r="V27" s="307"/>
      <c r="W27" s="307"/>
      <c r="X27" s="623"/>
      <c r="Y27" s="623"/>
      <c r="Z27" s="623"/>
      <c r="AA27" s="623"/>
      <c r="AB27" s="623"/>
      <c r="AC27" s="623"/>
      <c r="AD27" s="623"/>
      <c r="AE27" s="307"/>
      <c r="AF27" s="307"/>
      <c r="AG27" s="307"/>
      <c r="AH27" s="307"/>
      <c r="AI27" s="307"/>
      <c r="AJ27" s="307"/>
      <c r="AK27" s="307"/>
      <c r="AL27" s="307"/>
      <c r="AM27" s="307"/>
      <c r="AN27" s="307"/>
    </row>
    <row r="28" spans="1:40" ht="15.75" customHeight="1" thickBot="1">
      <c r="A28" s="3"/>
      <c r="B28" s="800"/>
      <c r="C28" s="20"/>
      <c r="D28" s="317" t="s">
        <v>913</v>
      </c>
      <c r="E28" s="317">
        <f>IF(E14="kWh",3.41,1)</f>
        <v>3.41</v>
      </c>
      <c r="F28" s="317">
        <f>_xlfn.IFS(F14="kBtu",1,F14="Mbtu",1000,F14="cf",1.026,F14="ccf",102.6,F14="kcf",1026,F14="Therms",100,F14="cubic Meters",36.303)</f>
        <v>102.6</v>
      </c>
      <c r="G28" s="317">
        <f>_xlfn.IFS(G14="kBtu",1,G14="Mbtu",1000,G14="Ton Hours",12,G14="GJ",947.817)</f>
        <v>12</v>
      </c>
      <c r="H28" s="317">
        <f>_xlfn.IFS(H14="kBtu",1,H14="Mbtu",1000,H14="GJ",947.817,H14="Therms",100,H14="Lbs",1.194,H14="kLbs",1194,H14="kLbs",1194,H14="kg",2.632)</f>
        <v>1194</v>
      </c>
      <c r="I28" s="317">
        <v>3.41</v>
      </c>
      <c r="J28" s="317">
        <f>IF(J14="kWh",3.41,1)</f>
        <v>3.41</v>
      </c>
      <c r="K28" s="317">
        <f>_xlfn.IFS(K14="kBtu",1,K14="Mbtu",1000,K14="cf",1.026,K14="ccf",102.6,K14="kcf",1026,K14="Therms",100,K14="cubic Meters",36.303)</f>
        <v>102.6</v>
      </c>
      <c r="L28" s="317">
        <f>_xlfn.IFS(L14="kBtu",1,L14="Mbtu",1000,L14="Ton Hours",12,L14="GJ",947.817)</f>
        <v>12</v>
      </c>
      <c r="M28" s="317">
        <f>_xlfn.IFS(M14="kBtu",1,M14="Mbtu",1000,M14="GJ",947.817,M14="Therms",100,M14="Lbs",1.194,M14="kLbs",1194,M14="kLbs",1194,M14="kg",2.632)</f>
        <v>1.194</v>
      </c>
      <c r="N28" s="317">
        <v>3.41</v>
      </c>
      <c r="O28" s="28"/>
      <c r="P28" s="20"/>
      <c r="Q28" s="19"/>
      <c r="R28" s="19"/>
      <c r="S28" s="20"/>
      <c r="T28" s="19"/>
      <c r="U28" s="19"/>
      <c r="V28" s="3"/>
      <c r="W28" s="3"/>
      <c r="X28" s="623"/>
      <c r="Y28" s="623"/>
      <c r="Z28" s="623"/>
      <c r="AA28" s="623"/>
      <c r="AB28" s="623"/>
      <c r="AC28" s="623"/>
      <c r="AD28" s="623"/>
      <c r="AE28" s="3"/>
      <c r="AF28" s="3"/>
      <c r="AG28" s="3"/>
      <c r="AH28" s="3"/>
      <c r="AI28" s="3"/>
      <c r="AJ28" s="3"/>
      <c r="AK28" s="3"/>
      <c r="AL28" s="3"/>
      <c r="AM28" s="3"/>
      <c r="AN28" s="3"/>
    </row>
    <row r="29" spans="1:40" ht="15.75" customHeight="1">
      <c r="A29" s="3"/>
      <c r="B29" s="800"/>
      <c r="C29" s="20"/>
      <c r="D29" s="314" t="s">
        <v>453</v>
      </c>
      <c r="E29" s="318">
        <f>E27*E28</f>
        <v>613800</v>
      </c>
      <c r="F29" s="313">
        <f>F27*F28</f>
        <v>0</v>
      </c>
      <c r="G29" s="318">
        <f>G27*G28</f>
        <v>0</v>
      </c>
      <c r="H29" s="318">
        <f>H27*H28</f>
        <v>0</v>
      </c>
      <c r="I29" s="318">
        <f>I27*I28</f>
        <v>119350</v>
      </c>
      <c r="J29" s="318">
        <f t="shared" ref="J29:N29" si="1">J27*J28</f>
        <v>675180</v>
      </c>
      <c r="K29" s="318">
        <f t="shared" si="1"/>
        <v>0</v>
      </c>
      <c r="L29" s="318">
        <f t="shared" si="1"/>
        <v>0</v>
      </c>
      <c r="M29" s="318">
        <f t="shared" si="1"/>
        <v>0</v>
      </c>
      <c r="N29" s="318">
        <f t="shared" si="1"/>
        <v>250430.40000000002</v>
      </c>
      <c r="O29" s="28"/>
      <c r="P29" s="20"/>
      <c r="Q29" s="19"/>
      <c r="R29" s="19"/>
      <c r="S29" s="20"/>
      <c r="T29" s="19"/>
      <c r="U29" s="19"/>
      <c r="V29" s="3"/>
      <c r="W29" s="3"/>
      <c r="X29" s="623"/>
      <c r="Y29" s="623"/>
      <c r="Z29" s="623"/>
      <c r="AA29" s="623"/>
      <c r="AB29" s="623"/>
      <c r="AC29" s="623"/>
      <c r="AD29" s="623"/>
      <c r="AE29" s="3"/>
      <c r="AF29" s="3"/>
      <c r="AG29" s="3"/>
      <c r="AH29" s="3"/>
      <c r="AI29" s="3"/>
      <c r="AJ29" s="3"/>
      <c r="AK29" s="3"/>
      <c r="AL29" s="3"/>
      <c r="AM29" s="3"/>
      <c r="AN29" s="3"/>
    </row>
    <row r="30" spans="1:40" ht="15.75" customHeight="1">
      <c r="A30" s="3"/>
      <c r="B30" s="800"/>
      <c r="C30" s="20"/>
      <c r="D30" s="27"/>
      <c r="E30" s="28"/>
      <c r="F30" s="28"/>
      <c r="G30" s="28"/>
      <c r="H30" s="28"/>
      <c r="I30" s="28"/>
      <c r="J30" s="28"/>
      <c r="K30" s="28"/>
      <c r="L30" s="28"/>
      <c r="M30" s="28"/>
      <c r="N30" s="28"/>
      <c r="O30" s="28"/>
      <c r="P30" s="20"/>
      <c r="Q30" s="19"/>
      <c r="R30" s="19"/>
      <c r="S30" s="20"/>
      <c r="T30" s="19"/>
      <c r="U30" s="19"/>
      <c r="V30" s="3"/>
      <c r="W30" s="3"/>
      <c r="X30" s="3"/>
      <c r="Y30" s="3"/>
      <c r="Z30" s="3"/>
      <c r="AA30" s="3"/>
      <c r="AB30" s="3"/>
      <c r="AC30" s="3"/>
      <c r="AD30" s="3"/>
      <c r="AE30" s="3"/>
      <c r="AF30" s="3"/>
      <c r="AG30" s="3"/>
      <c r="AH30" s="3"/>
      <c r="AI30" s="3"/>
      <c r="AJ30" s="3"/>
      <c r="AK30" s="3"/>
      <c r="AL30" s="3"/>
      <c r="AM30" s="3"/>
      <c r="AN30" s="3"/>
    </row>
    <row r="31" spans="1:40" ht="15.75" customHeight="1">
      <c r="A31" s="3"/>
      <c r="B31" s="800"/>
      <c r="C31" s="20"/>
      <c r="D31" s="27" t="s">
        <v>922</v>
      </c>
      <c r="E31" s="319">
        <v>0.12</v>
      </c>
      <c r="F31" s="319">
        <v>0.94</v>
      </c>
      <c r="G31" s="319">
        <v>0.18</v>
      </c>
      <c r="H31" s="319">
        <v>9.39</v>
      </c>
      <c r="I31" s="320">
        <v>-0.02</v>
      </c>
      <c r="J31" s="164"/>
      <c r="K31" s="164"/>
      <c r="L31" s="28"/>
      <c r="M31" s="164"/>
      <c r="N31" s="28"/>
      <c r="O31" s="28"/>
      <c r="P31" s="20"/>
      <c r="Q31" s="19"/>
      <c r="R31" s="19"/>
      <c r="S31" s="20"/>
      <c r="T31" s="19"/>
      <c r="U31" s="19"/>
      <c r="V31" s="3"/>
      <c r="W31" s="3"/>
      <c r="X31" s="3"/>
      <c r="Y31" s="3"/>
      <c r="Z31" s="3"/>
      <c r="AA31" s="3"/>
      <c r="AB31" s="3"/>
      <c r="AC31" s="3"/>
      <c r="AD31" s="3"/>
      <c r="AE31" s="3"/>
      <c r="AF31" s="3"/>
      <c r="AG31" s="3"/>
      <c r="AH31" s="3"/>
      <c r="AI31" s="3"/>
      <c r="AJ31" s="3"/>
      <c r="AK31" s="3"/>
      <c r="AL31" s="3"/>
      <c r="AM31" s="3"/>
      <c r="AN31" s="3"/>
    </row>
    <row r="32" spans="1:40" ht="15.75" customHeight="1">
      <c r="A32" s="3"/>
      <c r="B32" s="800"/>
      <c r="C32" s="20"/>
      <c r="D32" s="27" t="s">
        <v>458</v>
      </c>
      <c r="E32" s="164">
        <f>1.22/3.41</f>
        <v>0.35777126099706741</v>
      </c>
      <c r="F32" s="164">
        <v>0.12</v>
      </c>
      <c r="G32" s="164">
        <f>E32</f>
        <v>0.35777126099706741</v>
      </c>
      <c r="H32" s="164">
        <v>0.12</v>
      </c>
      <c r="I32" s="28">
        <v>-0.36</v>
      </c>
      <c r="J32" s="164">
        <f>1.22/3.41</f>
        <v>0.35777126099706741</v>
      </c>
      <c r="K32" s="164">
        <v>0.12</v>
      </c>
      <c r="L32" s="164">
        <f>J32</f>
        <v>0.35777126099706741</v>
      </c>
      <c r="M32" s="164">
        <v>0.12</v>
      </c>
      <c r="N32" s="28">
        <v>-0.36</v>
      </c>
      <c r="O32" s="28"/>
      <c r="P32" s="20"/>
      <c r="Q32" s="19"/>
      <c r="R32" s="19"/>
      <c r="S32" s="20"/>
      <c r="T32" s="19"/>
      <c r="U32" s="19"/>
      <c r="V32" s="3"/>
      <c r="W32" s="3"/>
      <c r="X32" s="3"/>
      <c r="Y32" s="3"/>
      <c r="Z32" s="3"/>
      <c r="AA32" s="3"/>
      <c r="AB32" s="3"/>
      <c r="AC32" s="3"/>
      <c r="AD32" s="3"/>
      <c r="AE32" s="3"/>
      <c r="AF32" s="3"/>
      <c r="AG32" s="3"/>
      <c r="AH32" s="3"/>
      <c r="AI32" s="3"/>
      <c r="AJ32" s="3"/>
      <c r="AK32" s="3"/>
      <c r="AL32" s="3"/>
      <c r="AM32" s="3"/>
      <c r="AN32" s="3"/>
    </row>
    <row r="33" spans="1:40" ht="15.75" customHeight="1">
      <c r="A33" s="3"/>
      <c r="B33" s="800"/>
      <c r="C33" s="20"/>
      <c r="D33" s="165" t="s">
        <v>461</v>
      </c>
      <c r="E33" s="157">
        <f>E29*E32</f>
        <v>219599.99999999997</v>
      </c>
      <c r="F33" s="157">
        <f t="shared" ref="F33:N33" si="2">F29*F32</f>
        <v>0</v>
      </c>
      <c r="G33" s="157">
        <f t="shared" si="2"/>
        <v>0</v>
      </c>
      <c r="H33" s="157">
        <f t="shared" si="2"/>
        <v>0</v>
      </c>
      <c r="I33" s="157">
        <f>I29*I32</f>
        <v>-42966</v>
      </c>
      <c r="J33" s="157">
        <f t="shared" si="2"/>
        <v>241559.99999999997</v>
      </c>
      <c r="K33" s="157">
        <f t="shared" si="2"/>
        <v>0</v>
      </c>
      <c r="L33" s="157">
        <f t="shared" si="2"/>
        <v>0</v>
      </c>
      <c r="M33" s="157">
        <f t="shared" si="2"/>
        <v>0</v>
      </c>
      <c r="N33" s="157">
        <f t="shared" si="2"/>
        <v>-90154.944000000003</v>
      </c>
      <c r="O33" s="28"/>
      <c r="P33" s="20"/>
      <c r="Q33" s="19"/>
      <c r="R33" s="19"/>
      <c r="S33" s="20"/>
      <c r="T33" s="19"/>
      <c r="U33" s="19"/>
      <c r="V33" s="3"/>
      <c r="W33" s="3"/>
      <c r="X33" s="3"/>
      <c r="Y33" s="3"/>
      <c r="Z33" s="3"/>
      <c r="AA33" s="3"/>
      <c r="AB33" s="3"/>
      <c r="AC33" s="3"/>
      <c r="AD33" s="3"/>
      <c r="AE33" s="3"/>
      <c r="AF33" s="3"/>
      <c r="AG33" s="3"/>
      <c r="AH33" s="3"/>
      <c r="AI33" s="3"/>
      <c r="AJ33" s="3"/>
      <c r="AK33" s="3"/>
      <c r="AL33" s="3"/>
      <c r="AM33" s="3"/>
      <c r="AN33" s="3"/>
    </row>
    <row r="34" spans="1:40" ht="15.75" customHeight="1">
      <c r="A34" s="3"/>
      <c r="B34" s="801"/>
      <c r="C34" s="20"/>
      <c r="D34" s="28"/>
      <c r="E34" s="28"/>
      <c r="F34" s="153"/>
      <c r="G34" s="28"/>
      <c r="H34" s="28"/>
      <c r="I34" s="28"/>
      <c r="J34" s="28"/>
      <c r="K34" s="28"/>
      <c r="L34" s="28"/>
      <c r="M34" s="28"/>
      <c r="N34" s="28"/>
      <c r="O34" s="28"/>
      <c r="P34" s="20"/>
      <c r="Q34" s="19"/>
      <c r="R34" s="19"/>
      <c r="S34" s="20"/>
      <c r="T34" s="19"/>
      <c r="U34" s="19"/>
      <c r="V34" s="3"/>
      <c r="W34" s="3"/>
      <c r="X34" s="3"/>
      <c r="Y34" s="3"/>
      <c r="Z34" s="3"/>
      <c r="AA34" s="3"/>
      <c r="AB34" s="3"/>
      <c r="AC34" s="3"/>
      <c r="AD34" s="3"/>
      <c r="AE34" s="3"/>
      <c r="AF34" s="3"/>
      <c r="AG34" s="3"/>
      <c r="AH34" s="3"/>
      <c r="AI34" s="3"/>
      <c r="AJ34" s="3"/>
      <c r="AK34" s="3"/>
      <c r="AL34" s="3"/>
      <c r="AM34" s="3"/>
      <c r="AN34" s="3"/>
    </row>
    <row r="35" spans="1:40" ht="15.75" customHeight="1">
      <c r="A35" s="3"/>
      <c r="B35" s="20"/>
      <c r="C35" s="20"/>
      <c r="D35" s="20"/>
      <c r="E35" s="20"/>
      <c r="F35" s="20"/>
      <c r="G35" s="20"/>
      <c r="H35" s="20"/>
      <c r="I35" s="20"/>
      <c r="J35" s="20"/>
      <c r="K35" s="20"/>
      <c r="L35" s="20"/>
      <c r="M35" s="20"/>
      <c r="N35" s="20"/>
      <c r="O35" s="20"/>
      <c r="P35" s="20"/>
      <c r="Q35" s="20"/>
      <c r="R35" s="20"/>
      <c r="S35" s="20"/>
      <c r="T35" s="20"/>
      <c r="U35" s="20"/>
      <c r="V35" s="3"/>
      <c r="W35" s="3"/>
      <c r="X35" s="3"/>
      <c r="Y35" s="3"/>
      <c r="Z35" s="3"/>
      <c r="AA35" s="3"/>
      <c r="AB35" s="3"/>
      <c r="AC35" s="3"/>
      <c r="AD35" s="3"/>
      <c r="AE35" s="3"/>
      <c r="AF35" s="3"/>
      <c r="AG35" s="3"/>
      <c r="AH35" s="3"/>
      <c r="AI35" s="3"/>
      <c r="AJ35" s="3"/>
      <c r="AK35" s="3"/>
      <c r="AL35" s="3"/>
      <c r="AM35" s="3"/>
      <c r="AN35" s="3"/>
    </row>
    <row r="36" spans="1:40" ht="15.75" customHeight="1">
      <c r="A36" s="3"/>
      <c r="B36" s="20"/>
      <c r="C36" s="20"/>
      <c r="D36" s="62" t="s">
        <v>465</v>
      </c>
      <c r="E36" s="20"/>
      <c r="F36" s="20"/>
      <c r="G36" s="20"/>
      <c r="H36" s="20"/>
      <c r="I36" s="20"/>
      <c r="J36" s="20"/>
      <c r="K36" s="20"/>
      <c r="L36" s="20"/>
      <c r="M36" s="20"/>
      <c r="N36" s="20"/>
      <c r="O36" s="20"/>
      <c r="P36" s="20"/>
      <c r="Q36" s="20"/>
      <c r="R36" s="20"/>
      <c r="S36" s="20"/>
      <c r="T36" s="20"/>
      <c r="U36" s="20"/>
      <c r="V36" s="3"/>
      <c r="W36" s="3"/>
      <c r="X36" s="3"/>
      <c r="Y36" s="3"/>
      <c r="Z36" s="3"/>
      <c r="AA36" s="3"/>
      <c r="AB36" s="3"/>
      <c r="AC36" s="3"/>
      <c r="AD36" s="3"/>
      <c r="AE36" s="3"/>
      <c r="AF36" s="3"/>
      <c r="AG36" s="3"/>
      <c r="AH36" s="3"/>
      <c r="AI36" s="3"/>
      <c r="AJ36" s="3"/>
      <c r="AK36" s="3"/>
      <c r="AL36" s="3"/>
      <c r="AM36" s="3"/>
      <c r="AN36" s="3"/>
    </row>
    <row r="37" spans="1:40" ht="15.75" customHeight="1">
      <c r="A37" s="3"/>
      <c r="B37" s="167"/>
      <c r="C37" s="20"/>
      <c r="D37" s="64"/>
      <c r="E37" s="64"/>
      <c r="F37" s="168" t="s">
        <v>448</v>
      </c>
      <c r="G37" s="168" t="s">
        <v>442</v>
      </c>
      <c r="H37" s="28"/>
      <c r="I37" s="28"/>
      <c r="J37" s="28"/>
      <c r="K37" s="28"/>
      <c r="L37" s="28"/>
      <c r="M37" s="28"/>
      <c r="N37" s="28"/>
      <c r="O37" s="28"/>
      <c r="P37" s="20"/>
      <c r="Q37" s="20"/>
      <c r="R37" s="20"/>
      <c r="S37" s="20"/>
      <c r="T37" s="20"/>
      <c r="U37" s="20"/>
      <c r="V37" s="3"/>
      <c r="W37" s="3"/>
      <c r="X37" s="3"/>
      <c r="Y37" s="3"/>
      <c r="Z37" s="3"/>
      <c r="AA37" s="3"/>
      <c r="AB37" s="3"/>
      <c r="AC37" s="3"/>
      <c r="AD37" s="3"/>
      <c r="AE37" s="3"/>
      <c r="AF37" s="3"/>
      <c r="AG37" s="3"/>
      <c r="AH37" s="3"/>
      <c r="AI37" s="3"/>
      <c r="AJ37" s="3"/>
      <c r="AK37" s="3"/>
      <c r="AL37" s="3"/>
      <c r="AM37" s="3"/>
      <c r="AN37" s="3"/>
    </row>
    <row r="38" spans="1:40" ht="15.75" customHeight="1">
      <c r="A38" s="3"/>
      <c r="B38" s="167"/>
      <c r="C38" s="20"/>
      <c r="D38" s="28"/>
      <c r="E38" s="44" t="s">
        <v>467</v>
      </c>
      <c r="F38" s="153">
        <f>SUM(E29:H29)</f>
        <v>613800</v>
      </c>
      <c r="G38" s="153">
        <f>SUM(J29:L29)</f>
        <v>675180</v>
      </c>
      <c r="H38" s="28"/>
      <c r="I38" s="28"/>
      <c r="J38" s="28"/>
      <c r="K38" s="28"/>
      <c r="L38" s="28"/>
      <c r="M38" s="28"/>
      <c r="N38" s="28"/>
      <c r="O38" s="28"/>
      <c r="P38" s="20"/>
      <c r="Q38" s="20"/>
      <c r="R38" s="20"/>
      <c r="S38" s="20"/>
      <c r="T38" s="20"/>
      <c r="U38" s="20"/>
      <c r="V38" s="3"/>
      <c r="W38" s="3"/>
      <c r="X38" s="3"/>
      <c r="Y38" s="3"/>
      <c r="Z38" s="3"/>
      <c r="AA38" s="3"/>
      <c r="AB38" s="3"/>
      <c r="AC38" s="3"/>
      <c r="AD38" s="3"/>
      <c r="AE38" s="3"/>
      <c r="AF38" s="3"/>
      <c r="AG38" s="3"/>
      <c r="AH38" s="3"/>
      <c r="AI38" s="3"/>
      <c r="AJ38" s="3"/>
      <c r="AK38" s="3"/>
      <c r="AL38" s="3"/>
      <c r="AM38" s="3"/>
      <c r="AN38" s="3"/>
    </row>
    <row r="39" spans="1:40" ht="15.75" customHeight="1">
      <c r="A39" s="3"/>
      <c r="B39" s="167"/>
      <c r="C39" s="20"/>
      <c r="D39" s="28"/>
      <c r="E39" s="44" t="s">
        <v>473</v>
      </c>
      <c r="F39" s="153">
        <f>F38-I29</f>
        <v>494450</v>
      </c>
      <c r="G39" s="153">
        <f>G38-N29</f>
        <v>424749.6</v>
      </c>
      <c r="H39" s="28"/>
      <c r="I39" s="28"/>
      <c r="J39" s="28"/>
      <c r="K39" s="28"/>
      <c r="L39" s="28"/>
      <c r="M39" s="28"/>
      <c r="N39" s="28"/>
      <c r="O39" s="28"/>
      <c r="P39" s="20"/>
      <c r="Q39" s="20"/>
      <c r="R39" s="20"/>
      <c r="S39" s="20"/>
      <c r="T39" s="20"/>
      <c r="U39" s="20"/>
      <c r="V39" s="3"/>
      <c r="W39" s="3"/>
      <c r="X39" s="3"/>
      <c r="Y39" s="3"/>
      <c r="Z39" s="3"/>
      <c r="AA39" s="3"/>
      <c r="AB39" s="3"/>
      <c r="AC39" s="3"/>
      <c r="AD39" s="3"/>
      <c r="AE39" s="3"/>
      <c r="AF39" s="3"/>
      <c r="AG39" s="3"/>
      <c r="AH39" s="3"/>
      <c r="AI39" s="3"/>
      <c r="AJ39" s="3"/>
      <c r="AK39" s="3"/>
      <c r="AL39" s="3"/>
      <c r="AM39" s="3"/>
      <c r="AN39" s="3"/>
    </row>
    <row r="40" spans="1:40" ht="15.75" customHeight="1">
      <c r="A40" s="3"/>
      <c r="B40" s="167"/>
      <c r="C40" s="20"/>
      <c r="D40" s="28"/>
      <c r="E40" s="44" t="s">
        <v>482</v>
      </c>
      <c r="F40" s="41">
        <f>I29/E29+F29+G29+H29</f>
        <v>0.19444444444444445</v>
      </c>
      <c r="G40" s="41">
        <f>N29/J29+K29+L29+M29</f>
        <v>0.37090909090909097</v>
      </c>
      <c r="H40" s="28"/>
      <c r="I40" s="28"/>
      <c r="J40" s="28"/>
      <c r="K40" s="28"/>
      <c r="L40" s="28"/>
      <c r="M40" s="28"/>
      <c r="N40" s="28"/>
      <c r="O40" s="28"/>
      <c r="P40" s="20"/>
      <c r="Q40" s="20"/>
      <c r="R40" s="20"/>
      <c r="S40" s="20"/>
      <c r="T40" s="20"/>
      <c r="U40" s="20"/>
      <c r="V40" s="3"/>
      <c r="W40" s="3"/>
      <c r="X40" s="3"/>
      <c r="Y40" s="3"/>
      <c r="Z40" s="3"/>
      <c r="AA40" s="3"/>
      <c r="AB40" s="3"/>
      <c r="AC40" s="3"/>
      <c r="AD40" s="3"/>
      <c r="AE40" s="3"/>
      <c r="AF40" s="3"/>
      <c r="AG40" s="3"/>
      <c r="AH40" s="3"/>
      <c r="AI40" s="3"/>
      <c r="AJ40" s="3"/>
      <c r="AK40" s="3"/>
      <c r="AL40" s="3"/>
      <c r="AM40" s="3"/>
      <c r="AN40" s="3"/>
    </row>
    <row r="41" spans="1:40" ht="15.75" customHeight="1">
      <c r="A41" s="3"/>
      <c r="B41" s="167"/>
      <c r="C41" s="20"/>
      <c r="D41" s="28"/>
      <c r="E41" s="44" t="s">
        <v>492</v>
      </c>
      <c r="F41" s="173">
        <f>F38/Introduction!F12</f>
        <v>25.053061224489795</v>
      </c>
      <c r="G41" s="173">
        <f>G38/Introduction!F12</f>
        <v>27.558367346938777</v>
      </c>
      <c r="H41" s="28"/>
      <c r="I41" s="28"/>
      <c r="J41" s="28"/>
      <c r="K41" s="28"/>
      <c r="L41" s="28"/>
      <c r="M41" s="28"/>
      <c r="N41" s="28"/>
      <c r="O41" s="28"/>
      <c r="P41" s="20"/>
      <c r="Q41" s="20"/>
      <c r="R41" s="20"/>
      <c r="S41" s="20"/>
      <c r="T41" s="20"/>
      <c r="U41" s="20"/>
      <c r="V41" s="3"/>
      <c r="W41" s="3"/>
      <c r="X41" s="3"/>
      <c r="Y41" s="3"/>
      <c r="Z41" s="3"/>
      <c r="AA41" s="3"/>
      <c r="AB41" s="3"/>
      <c r="AC41" s="3"/>
      <c r="AD41" s="3"/>
      <c r="AE41" s="3"/>
      <c r="AF41" s="3"/>
      <c r="AG41" s="3"/>
      <c r="AH41" s="3"/>
      <c r="AI41" s="3"/>
      <c r="AJ41" s="3"/>
      <c r="AK41" s="3"/>
      <c r="AL41" s="3"/>
      <c r="AM41" s="3"/>
      <c r="AN41" s="3"/>
    </row>
    <row r="42" spans="1:40" ht="15.75" customHeight="1">
      <c r="A42" s="3"/>
      <c r="B42" s="167"/>
      <c r="C42" s="20"/>
      <c r="D42" s="28"/>
      <c r="E42" s="44" t="s">
        <v>501</v>
      </c>
      <c r="F42" s="173">
        <f>F39/Introduction!F12</f>
        <v>20.181632653061225</v>
      </c>
      <c r="G42" s="173">
        <f>G39/Introduction!F12</f>
        <v>17.336718367346936</v>
      </c>
      <c r="H42" s="28"/>
      <c r="I42" s="28"/>
      <c r="J42" s="28"/>
      <c r="K42" s="28"/>
      <c r="L42" s="28"/>
      <c r="M42" s="28"/>
      <c r="N42" s="28"/>
      <c r="O42" s="28"/>
      <c r="P42" s="20"/>
      <c r="Q42" s="20"/>
      <c r="R42" s="20"/>
      <c r="S42" s="20"/>
      <c r="T42" s="20"/>
      <c r="U42" s="20"/>
      <c r="V42" s="3"/>
      <c r="W42" s="3"/>
      <c r="X42" s="3"/>
      <c r="Y42" s="3"/>
      <c r="Z42" s="3"/>
      <c r="AA42" s="3"/>
      <c r="AB42" s="3"/>
      <c r="AC42" s="3"/>
      <c r="AD42" s="3"/>
      <c r="AE42" s="3"/>
      <c r="AF42" s="3"/>
      <c r="AG42" s="3"/>
      <c r="AH42" s="3"/>
      <c r="AI42" s="3"/>
      <c r="AJ42" s="3"/>
      <c r="AK42" s="3"/>
      <c r="AL42" s="3"/>
      <c r="AM42" s="3"/>
      <c r="AN42" s="3"/>
    </row>
    <row r="43" spans="1:40" ht="15.75" customHeight="1">
      <c r="A43" s="3"/>
      <c r="B43" s="167"/>
      <c r="C43" s="20"/>
      <c r="D43" s="28"/>
      <c r="E43" s="44" t="s">
        <v>514</v>
      </c>
      <c r="F43" s="41">
        <f t="shared" ref="F43" si="3">1-(F39/$K$6)</f>
        <v>0.77575963718820862</v>
      </c>
      <c r="G43" s="41">
        <f>IF(G39=0, "N/A", 1-(G39/$K$6))</f>
        <v>0.80736979591836733</v>
      </c>
      <c r="H43" s="28"/>
      <c r="I43" s="28"/>
      <c r="J43" s="28"/>
      <c r="K43" s="28"/>
      <c r="L43" s="28"/>
      <c r="M43" s="28"/>
      <c r="N43" s="28"/>
      <c r="O43" s="28"/>
      <c r="P43" s="20"/>
      <c r="Q43" s="20"/>
      <c r="R43" s="20"/>
      <c r="S43" s="20"/>
      <c r="T43" s="20"/>
      <c r="U43" s="20"/>
      <c r="V43" s="3"/>
      <c r="W43" s="3"/>
      <c r="X43" s="3"/>
      <c r="Y43" s="3"/>
      <c r="Z43" s="3"/>
      <c r="AA43" s="3"/>
      <c r="AB43" s="3"/>
      <c r="AC43" s="3"/>
      <c r="AD43" s="3"/>
      <c r="AE43" s="3"/>
      <c r="AF43" s="3"/>
      <c r="AG43" s="3"/>
      <c r="AH43" s="3"/>
      <c r="AI43" s="3"/>
      <c r="AJ43" s="3"/>
      <c r="AK43" s="3"/>
      <c r="AL43" s="3"/>
      <c r="AM43" s="3"/>
      <c r="AN43" s="3"/>
    </row>
    <row r="44" spans="1:40" ht="15.75" customHeight="1">
      <c r="A44" s="3"/>
      <c r="B44" s="167"/>
      <c r="C44" s="20"/>
      <c r="D44" s="28"/>
      <c r="E44" s="44" t="s">
        <v>525</v>
      </c>
      <c r="F44" s="153">
        <f>SUM(E33:I33)</f>
        <v>176633.99999999997</v>
      </c>
      <c r="G44" s="153">
        <f>SUM(J33:N33)</f>
        <v>151405.05599999998</v>
      </c>
      <c r="H44" s="28"/>
      <c r="I44" s="28"/>
      <c r="J44" s="28"/>
      <c r="K44" s="28"/>
      <c r="L44" s="28"/>
      <c r="M44" s="28"/>
      <c r="N44" s="28"/>
      <c r="O44" s="28"/>
      <c r="P44" s="20"/>
      <c r="Q44" s="20"/>
      <c r="R44" s="20"/>
      <c r="S44" s="20"/>
      <c r="T44" s="20"/>
      <c r="U44" s="20"/>
      <c r="V44" s="3"/>
      <c r="W44" s="3"/>
      <c r="X44" s="3"/>
      <c r="Y44" s="3"/>
      <c r="Z44" s="3"/>
      <c r="AA44" s="3"/>
      <c r="AB44" s="3"/>
      <c r="AC44" s="3"/>
      <c r="AD44" s="3"/>
      <c r="AE44" s="3"/>
      <c r="AF44" s="3"/>
      <c r="AG44" s="3"/>
      <c r="AH44" s="3"/>
      <c r="AI44" s="3"/>
      <c r="AJ44" s="3"/>
      <c r="AK44" s="3"/>
      <c r="AL44" s="3"/>
      <c r="AM44" s="3"/>
      <c r="AN44" s="3"/>
    </row>
    <row r="45" spans="1:40" ht="15.75" customHeight="1">
      <c r="A45" s="3"/>
      <c r="B45" s="167"/>
      <c r="C45" s="20"/>
      <c r="D45" s="28"/>
      <c r="E45" s="180" t="s">
        <v>534</v>
      </c>
      <c r="F45" s="164">
        <f>F44/Introduction!F12</f>
        <v>7.2095510204081616</v>
      </c>
      <c r="G45" s="164">
        <f>G44/Introduction!F12</f>
        <v>6.1797982040816315</v>
      </c>
      <c r="H45" s="28"/>
      <c r="I45" s="28"/>
      <c r="J45" s="28"/>
      <c r="K45" s="28"/>
      <c r="L45" s="28"/>
      <c r="M45" s="28"/>
      <c r="N45" s="28"/>
      <c r="O45" s="28"/>
      <c r="P45" s="20"/>
      <c r="Q45" s="20"/>
      <c r="R45" s="20"/>
      <c r="S45" s="20"/>
      <c r="T45" s="20"/>
      <c r="U45" s="20"/>
      <c r="V45" s="3"/>
      <c r="W45" s="3"/>
      <c r="X45" s="3"/>
      <c r="Y45" s="3"/>
      <c r="Z45" s="3"/>
      <c r="AA45" s="3"/>
      <c r="AB45" s="3"/>
      <c r="AC45" s="3"/>
      <c r="AD45" s="3"/>
      <c r="AE45" s="3"/>
      <c r="AF45" s="3"/>
      <c r="AG45" s="3"/>
      <c r="AH45" s="3"/>
      <c r="AI45" s="3"/>
      <c r="AJ45" s="3"/>
      <c r="AK45" s="3"/>
      <c r="AL45" s="3"/>
      <c r="AM45" s="3"/>
      <c r="AN45" s="3"/>
    </row>
    <row r="46" spans="1:40" ht="15.75" customHeight="1">
      <c r="A46" s="3"/>
      <c r="B46" s="167"/>
      <c r="C46" s="20"/>
      <c r="D46" s="28"/>
      <c r="E46" s="44" t="s">
        <v>540</v>
      </c>
      <c r="F46" s="41">
        <f>1-(F44/K7)</f>
        <v>0.72136296855641813</v>
      </c>
      <c r="G46" s="41">
        <f>IF(G44=0, "N/A",1-(G44/K7))</f>
        <v>0.76116118443001191</v>
      </c>
      <c r="H46" s="28"/>
      <c r="I46" s="28"/>
      <c r="J46" s="28"/>
      <c r="K46" s="28"/>
      <c r="L46" s="28"/>
      <c r="M46" s="28"/>
      <c r="N46" s="28"/>
      <c r="O46" s="28"/>
      <c r="P46" s="20"/>
      <c r="Q46" s="20"/>
      <c r="R46" s="20"/>
      <c r="S46" s="20"/>
      <c r="T46" s="20"/>
      <c r="U46" s="20"/>
      <c r="V46" s="3"/>
      <c r="W46" s="3"/>
      <c r="X46" s="3"/>
      <c r="Y46" s="3"/>
      <c r="Z46" s="3"/>
      <c r="AA46" s="3"/>
      <c r="AB46" s="3"/>
      <c r="AC46" s="3"/>
      <c r="AD46" s="3"/>
      <c r="AE46" s="3"/>
      <c r="AF46" s="3"/>
      <c r="AG46" s="3"/>
      <c r="AH46" s="3"/>
      <c r="AI46" s="3"/>
      <c r="AJ46" s="3"/>
      <c r="AK46" s="3"/>
      <c r="AL46" s="3"/>
      <c r="AM46" s="3"/>
      <c r="AN46" s="3"/>
    </row>
    <row r="47" spans="1:40" ht="15.75" customHeight="1">
      <c r="A47" s="3"/>
      <c r="B47" s="167"/>
      <c r="C47" s="20"/>
      <c r="D47" s="28"/>
      <c r="E47" s="44" t="s">
        <v>552</v>
      </c>
      <c r="F47" s="182">
        <f>E31*E27+F31*F27+G31*G27+H31*H27+I31*I27</f>
        <v>20900</v>
      </c>
      <c r="G47" s="182">
        <f>E31*J27+F31*K27+G31*L27+H31*M27+I31*N27</f>
        <v>22291.200000000001</v>
      </c>
      <c r="H47" s="28"/>
      <c r="I47" s="28"/>
      <c r="J47" s="28"/>
      <c r="K47" s="28"/>
      <c r="L47" s="28"/>
      <c r="M47" s="28"/>
      <c r="N47" s="28"/>
      <c r="O47" s="28"/>
      <c r="P47" s="20"/>
      <c r="Q47" s="20"/>
      <c r="R47" s="20"/>
      <c r="S47" s="20"/>
      <c r="T47" s="20"/>
      <c r="U47" s="20"/>
      <c r="V47" s="3"/>
      <c r="W47" s="3"/>
      <c r="X47" s="3"/>
      <c r="Y47" s="3"/>
      <c r="Z47" s="3"/>
      <c r="AA47" s="3"/>
      <c r="AB47" s="3"/>
      <c r="AC47" s="3"/>
      <c r="AD47" s="3"/>
      <c r="AE47" s="3"/>
      <c r="AF47" s="3"/>
      <c r="AG47" s="3"/>
      <c r="AH47" s="3"/>
      <c r="AI47" s="3"/>
      <c r="AJ47" s="3"/>
      <c r="AK47" s="3"/>
      <c r="AL47" s="3"/>
      <c r="AM47" s="3"/>
      <c r="AN47" s="3"/>
    </row>
    <row r="48" spans="1:40" ht="15.75" customHeight="1">
      <c r="A48" s="3"/>
      <c r="B48" s="167"/>
      <c r="C48" s="20"/>
      <c r="D48" s="28"/>
      <c r="E48" s="28"/>
      <c r="F48" s="28"/>
      <c r="G48" s="28"/>
      <c r="H48" s="28"/>
      <c r="I48" s="28"/>
      <c r="J48" s="28"/>
      <c r="K48" s="28"/>
      <c r="L48" s="28"/>
      <c r="M48" s="28"/>
      <c r="N48" s="28"/>
      <c r="O48" s="28"/>
      <c r="P48" s="20"/>
      <c r="Q48" s="20"/>
      <c r="R48" s="20"/>
      <c r="S48" s="20"/>
      <c r="T48" s="20"/>
      <c r="U48" s="20"/>
      <c r="V48" s="3"/>
      <c r="W48" s="3"/>
      <c r="X48" s="3"/>
      <c r="Y48" s="3"/>
      <c r="Z48" s="3"/>
      <c r="AA48" s="3"/>
      <c r="AB48" s="3"/>
      <c r="AC48" s="3"/>
      <c r="AD48" s="3"/>
      <c r="AE48" s="3"/>
      <c r="AF48" s="3"/>
      <c r="AG48" s="3"/>
      <c r="AH48" s="3"/>
      <c r="AI48" s="3"/>
      <c r="AJ48" s="3"/>
      <c r="AK48" s="3"/>
      <c r="AL48" s="3"/>
      <c r="AM48" s="3"/>
      <c r="AN48" s="3"/>
    </row>
    <row r="49" spans="1:40" ht="15.75" customHeight="1">
      <c r="A49" s="3"/>
      <c r="B49" s="20"/>
      <c r="C49" s="20"/>
      <c r="D49" s="20"/>
      <c r="E49" s="20"/>
      <c r="F49" s="20"/>
      <c r="G49" s="20"/>
      <c r="H49" s="20"/>
      <c r="I49" s="20"/>
      <c r="J49" s="20"/>
      <c r="K49" s="20"/>
      <c r="L49" s="20"/>
      <c r="M49" s="20"/>
      <c r="N49" s="20"/>
      <c r="O49" s="20"/>
      <c r="P49" s="20"/>
      <c r="Q49" s="20"/>
      <c r="R49" s="20"/>
      <c r="S49" s="20"/>
      <c r="T49" s="20"/>
      <c r="U49" s="20"/>
      <c r="V49" s="3"/>
      <c r="W49" s="3"/>
      <c r="X49" s="3"/>
      <c r="Y49" s="3"/>
      <c r="Z49" s="3"/>
      <c r="AA49" s="3"/>
      <c r="AB49" s="3"/>
      <c r="AC49" s="3"/>
      <c r="AD49" s="3"/>
      <c r="AE49" s="3"/>
      <c r="AF49" s="3"/>
      <c r="AG49" s="3"/>
      <c r="AH49" s="3"/>
      <c r="AI49" s="3"/>
      <c r="AJ49" s="3"/>
      <c r="AK49" s="3"/>
      <c r="AL49" s="3"/>
      <c r="AM49" s="3"/>
      <c r="AN49" s="3"/>
    </row>
    <row r="50" spans="1:40" ht="15.75" customHeight="1">
      <c r="A50" s="3"/>
      <c r="B50" s="799" t="s">
        <v>571</v>
      </c>
      <c r="C50" s="20"/>
      <c r="D50" s="26" t="s">
        <v>574</v>
      </c>
      <c r="E50" s="26"/>
      <c r="F50" s="26"/>
      <c r="G50" s="26"/>
      <c r="H50" s="26"/>
      <c r="I50" s="26"/>
      <c r="J50" s="26"/>
      <c r="K50" s="26"/>
      <c r="L50" s="26"/>
      <c r="M50" s="26"/>
      <c r="N50" s="26"/>
      <c r="O50" s="26"/>
      <c r="P50" s="20"/>
      <c r="Q50" s="19" t="s">
        <v>575</v>
      </c>
      <c r="R50" s="132"/>
      <c r="S50" s="20"/>
      <c r="T50" s="22" t="str">
        <f>HYPERLINK("https://www.archtoolbox.com/materials-systems/electrical/recommended-lighting-levels-in-buildings.html","LPD Tables by Space")</f>
        <v>LPD Tables by Space</v>
      </c>
      <c r="U50" s="132"/>
      <c r="V50" s="3"/>
      <c r="W50" s="3"/>
      <c r="X50" s="3"/>
      <c r="Y50" s="3"/>
      <c r="Z50" s="3"/>
      <c r="AA50" s="3"/>
      <c r="AB50" s="3"/>
      <c r="AC50" s="3"/>
      <c r="AD50" s="3"/>
      <c r="AE50" s="3"/>
      <c r="AF50" s="3"/>
      <c r="AG50" s="3"/>
      <c r="AH50" s="3"/>
      <c r="AI50" s="3"/>
      <c r="AJ50" s="3"/>
      <c r="AK50" s="3"/>
      <c r="AL50" s="3"/>
      <c r="AM50" s="3"/>
      <c r="AN50" s="3"/>
    </row>
    <row r="51" spans="1:40" ht="15.75" customHeight="1">
      <c r="A51" s="3"/>
      <c r="B51" s="800"/>
      <c r="C51" s="20"/>
      <c r="D51" s="28"/>
      <c r="E51" s="28"/>
      <c r="F51" s="28"/>
      <c r="G51" s="28"/>
      <c r="H51" s="28"/>
      <c r="I51" s="28"/>
      <c r="J51" s="28"/>
      <c r="K51" s="28"/>
      <c r="L51" s="28"/>
      <c r="M51" s="28"/>
      <c r="N51" s="28"/>
      <c r="O51" s="28"/>
      <c r="P51" s="20"/>
      <c r="Q51" s="19"/>
      <c r="R51" s="19"/>
      <c r="S51" s="20"/>
      <c r="T51" s="19"/>
      <c r="U51" s="19"/>
      <c r="V51" s="3"/>
      <c r="W51" s="3"/>
      <c r="X51" s="3"/>
      <c r="Y51" s="3"/>
      <c r="Z51" s="3"/>
      <c r="AA51" s="3"/>
      <c r="AB51" s="3"/>
      <c r="AC51" s="3"/>
      <c r="AD51" s="3"/>
      <c r="AE51" s="3"/>
      <c r="AF51" s="3"/>
      <c r="AG51" s="3"/>
      <c r="AH51" s="3"/>
      <c r="AI51" s="3"/>
      <c r="AJ51" s="3"/>
      <c r="AK51" s="3"/>
      <c r="AL51" s="3"/>
      <c r="AM51" s="3"/>
      <c r="AN51" s="3"/>
    </row>
    <row r="52" spans="1:40" ht="15.75" customHeight="1">
      <c r="A52" s="3"/>
      <c r="B52" s="800"/>
      <c r="C52" s="20"/>
      <c r="D52" s="28"/>
      <c r="E52" s="44" t="s">
        <v>592</v>
      </c>
      <c r="F52" s="327">
        <v>0.7</v>
      </c>
      <c r="G52" s="28" t="s">
        <v>201</v>
      </c>
      <c r="H52" s="28"/>
      <c r="I52" s="28"/>
      <c r="J52" s="28"/>
      <c r="K52" s="28"/>
      <c r="L52" s="28"/>
      <c r="M52" s="28"/>
      <c r="N52" s="28"/>
      <c r="O52" s="28"/>
      <c r="P52" s="20"/>
      <c r="Q52" s="860" t="s">
        <v>594</v>
      </c>
      <c r="R52" s="809"/>
      <c r="S52" s="20"/>
      <c r="T52" s="19"/>
      <c r="U52" s="19"/>
      <c r="V52" s="3"/>
      <c r="W52" s="3"/>
      <c r="X52" s="3"/>
      <c r="Y52" s="3"/>
      <c r="Z52" s="3"/>
      <c r="AA52" s="3"/>
      <c r="AB52" s="3"/>
      <c r="AC52" s="3"/>
      <c r="AD52" s="3"/>
      <c r="AE52" s="3"/>
      <c r="AF52" s="3"/>
      <c r="AG52" s="3"/>
      <c r="AH52" s="3"/>
      <c r="AI52" s="3"/>
      <c r="AJ52" s="3"/>
      <c r="AK52" s="3"/>
      <c r="AL52" s="3"/>
      <c r="AM52" s="3"/>
      <c r="AN52" s="3"/>
    </row>
    <row r="53" spans="1:40" ht="15.75" customHeight="1">
      <c r="A53" s="3"/>
      <c r="B53" s="800"/>
      <c r="C53" s="20"/>
      <c r="D53" s="44"/>
      <c r="E53" s="44" t="s">
        <v>597</v>
      </c>
      <c r="F53" s="187">
        <f>Introduction!O16</f>
        <v>1</v>
      </c>
      <c r="G53" s="28" t="s">
        <v>201</v>
      </c>
      <c r="H53" s="28"/>
      <c r="I53" s="28"/>
      <c r="J53" s="28"/>
      <c r="K53" s="28"/>
      <c r="L53" s="28"/>
      <c r="M53" s="28"/>
      <c r="N53" s="28"/>
      <c r="O53" s="28"/>
      <c r="P53" s="20"/>
      <c r="Q53" s="872"/>
      <c r="R53" s="803"/>
      <c r="S53" s="20"/>
      <c r="T53" s="19"/>
      <c r="U53" s="19"/>
      <c r="V53" s="3"/>
      <c r="W53" s="3"/>
      <c r="X53" s="3"/>
      <c r="Y53" s="3"/>
      <c r="Z53" s="3"/>
      <c r="AA53" s="3"/>
      <c r="AB53" s="3"/>
      <c r="AC53" s="3"/>
      <c r="AD53" s="3"/>
      <c r="AE53" s="3"/>
      <c r="AF53" s="3"/>
      <c r="AG53" s="3"/>
      <c r="AH53" s="3"/>
      <c r="AI53" s="3"/>
      <c r="AJ53" s="3"/>
      <c r="AK53" s="3"/>
      <c r="AL53" s="3"/>
      <c r="AM53" s="3"/>
      <c r="AN53" s="3"/>
    </row>
    <row r="54" spans="1:40" ht="15.75" customHeight="1">
      <c r="A54" s="3"/>
      <c r="B54" s="800"/>
      <c r="C54" s="20"/>
      <c r="D54" s="44"/>
      <c r="E54" s="44" t="s">
        <v>600</v>
      </c>
      <c r="F54" s="41">
        <f>1-(F52/F53)</f>
        <v>0.30000000000000004</v>
      </c>
      <c r="G54" s="28"/>
      <c r="H54" s="28"/>
      <c r="I54" s="28"/>
      <c r="J54" s="28"/>
      <c r="K54" s="28"/>
      <c r="L54" s="28"/>
      <c r="M54" s="28"/>
      <c r="N54" s="28"/>
      <c r="O54" s="28"/>
      <c r="P54" s="20"/>
      <c r="Q54" s="810"/>
      <c r="R54" s="812"/>
      <c r="S54" s="20"/>
      <c r="T54" s="19"/>
      <c r="U54" s="19"/>
      <c r="V54" s="3"/>
      <c r="W54" s="3"/>
      <c r="X54" s="3"/>
      <c r="Y54" s="3"/>
      <c r="Z54" s="3"/>
      <c r="AA54" s="3"/>
      <c r="AB54" s="3"/>
      <c r="AC54" s="3"/>
      <c r="AD54" s="3"/>
      <c r="AE54" s="3"/>
      <c r="AF54" s="3"/>
      <c r="AG54" s="3"/>
      <c r="AH54" s="3"/>
      <c r="AI54" s="3"/>
      <c r="AJ54" s="3"/>
      <c r="AK54" s="3"/>
      <c r="AL54" s="3"/>
      <c r="AM54" s="3"/>
      <c r="AN54" s="3"/>
    </row>
    <row r="55" spans="1:40" ht="15.75" customHeight="1">
      <c r="A55" s="3"/>
      <c r="B55" s="801"/>
      <c r="C55" s="20"/>
      <c r="D55" s="28"/>
      <c r="E55" s="28"/>
      <c r="F55" s="28"/>
      <c r="G55" s="28"/>
      <c r="H55" s="28"/>
      <c r="I55" s="28"/>
      <c r="J55" s="28"/>
      <c r="K55" s="28"/>
      <c r="L55" s="28"/>
      <c r="M55" s="28"/>
      <c r="N55" s="28"/>
      <c r="O55" s="28"/>
      <c r="P55" s="20"/>
      <c r="Q55" s="19"/>
      <c r="R55" s="19"/>
      <c r="S55" s="20"/>
      <c r="T55" s="19"/>
      <c r="U55" s="19"/>
      <c r="V55" s="3"/>
      <c r="W55" s="3"/>
      <c r="X55" s="3"/>
      <c r="Y55" s="3"/>
      <c r="Z55" s="3"/>
      <c r="AA55" s="3"/>
      <c r="AB55" s="3"/>
      <c r="AC55" s="3"/>
      <c r="AD55" s="3"/>
      <c r="AE55" s="3"/>
      <c r="AF55" s="3"/>
      <c r="AG55" s="3"/>
      <c r="AH55" s="3"/>
      <c r="AI55" s="3"/>
      <c r="AJ55" s="3"/>
      <c r="AK55" s="3"/>
      <c r="AL55" s="3"/>
      <c r="AM55" s="3"/>
      <c r="AN55" s="3"/>
    </row>
    <row r="56" spans="1:40" ht="15.75" customHeight="1">
      <c r="A56" s="3"/>
      <c r="B56" s="20"/>
      <c r="C56" s="20"/>
      <c r="D56" s="20"/>
      <c r="E56" s="20"/>
      <c r="F56" s="20"/>
      <c r="G56" s="20"/>
      <c r="H56" s="20"/>
      <c r="I56" s="20"/>
      <c r="J56" s="20"/>
      <c r="K56" s="20"/>
      <c r="L56" s="20"/>
      <c r="M56" s="20"/>
      <c r="N56" s="20"/>
      <c r="O56" s="20"/>
      <c r="P56" s="20"/>
      <c r="Q56" s="20"/>
      <c r="R56" s="20"/>
      <c r="S56" s="20"/>
      <c r="T56" s="20"/>
      <c r="U56" s="20"/>
      <c r="V56" s="3"/>
      <c r="W56" s="3"/>
      <c r="X56" s="3"/>
      <c r="Y56" s="3"/>
      <c r="Z56" s="3"/>
      <c r="AA56" s="3"/>
      <c r="AB56" s="3"/>
      <c r="AC56" s="3"/>
      <c r="AD56" s="3"/>
      <c r="AE56" s="3"/>
      <c r="AF56" s="3"/>
      <c r="AG56" s="3"/>
      <c r="AH56" s="3"/>
      <c r="AI56" s="3"/>
      <c r="AJ56" s="3"/>
      <c r="AK56" s="3"/>
      <c r="AL56" s="3"/>
      <c r="AM56" s="3"/>
      <c r="AN56" s="3"/>
    </row>
    <row r="57" spans="1:40" ht="15.75" customHeight="1">
      <c r="A57" s="3"/>
      <c r="B57" s="799" t="s">
        <v>605</v>
      </c>
      <c r="C57" s="20"/>
      <c r="D57" s="26" t="s">
        <v>607</v>
      </c>
      <c r="E57" s="26"/>
      <c r="F57" s="26"/>
      <c r="G57" s="26"/>
      <c r="H57" s="26"/>
      <c r="I57" s="26"/>
      <c r="J57" s="26"/>
      <c r="K57" s="26"/>
      <c r="L57" s="26"/>
      <c r="M57" s="26"/>
      <c r="N57" s="26"/>
      <c r="O57" s="26"/>
      <c r="P57" s="20"/>
      <c r="Q57" s="860" t="s">
        <v>609</v>
      </c>
      <c r="R57" s="809"/>
      <c r="S57" s="20"/>
      <c r="T57" s="854" t="str">
        <f>HYPERLINK("https://www.eia.gov/consumption/commercial/data/2012/index.php?view=consumption#c1-c12","CBECS Table C4. Sum of major fuel consumption and expenditure gross energy intensities , 2012")</f>
        <v>CBECS Table C4. Sum of major fuel consumption and expenditure gross energy intensities , 2012</v>
      </c>
      <c r="U57" s="809"/>
      <c r="V57" s="3"/>
      <c r="W57" s="3"/>
      <c r="X57" s="3"/>
      <c r="Y57" s="3"/>
      <c r="Z57" s="3"/>
      <c r="AA57" s="3"/>
      <c r="AB57" s="3"/>
      <c r="AC57" s="3"/>
      <c r="AD57" s="3"/>
      <c r="AE57" s="3"/>
      <c r="AF57" s="3"/>
      <c r="AG57" s="3"/>
      <c r="AH57" s="3"/>
      <c r="AI57" s="3"/>
      <c r="AJ57" s="3"/>
      <c r="AK57" s="3"/>
      <c r="AL57" s="3"/>
      <c r="AM57" s="3"/>
      <c r="AN57" s="3"/>
    </row>
    <row r="58" spans="1:40" ht="15.75" customHeight="1">
      <c r="A58" s="3"/>
      <c r="B58" s="800"/>
      <c r="C58" s="20"/>
      <c r="D58" s="28"/>
      <c r="E58" s="28"/>
      <c r="F58" s="28"/>
      <c r="G58" s="28"/>
      <c r="H58" s="28"/>
      <c r="I58" s="28"/>
      <c r="J58" s="28"/>
      <c r="K58" s="28"/>
      <c r="L58" s="28"/>
      <c r="M58" s="28"/>
      <c r="N58" s="28"/>
      <c r="O58" s="28"/>
      <c r="P58" s="20"/>
      <c r="Q58" s="872"/>
      <c r="R58" s="803"/>
      <c r="S58" s="20"/>
      <c r="T58" s="872"/>
      <c r="U58" s="803"/>
      <c r="V58" s="3"/>
      <c r="W58" s="3"/>
      <c r="X58" s="3"/>
      <c r="Y58" s="3"/>
      <c r="Z58" s="3"/>
      <c r="AA58" s="3"/>
      <c r="AB58" s="3"/>
      <c r="AC58" s="3"/>
      <c r="AD58" s="3"/>
      <c r="AE58" s="3"/>
      <c r="AF58" s="3"/>
      <c r="AG58" s="3"/>
      <c r="AH58" s="3"/>
      <c r="AI58" s="3"/>
      <c r="AJ58" s="3"/>
      <c r="AK58" s="3"/>
      <c r="AL58" s="3"/>
      <c r="AM58" s="3"/>
      <c r="AN58" s="3"/>
    </row>
    <row r="59" spans="1:40" ht="15.75" customHeight="1">
      <c r="A59" s="3"/>
      <c r="B59" s="800"/>
      <c r="C59" s="20"/>
      <c r="D59" s="44"/>
      <c r="E59" s="44" t="s">
        <v>617</v>
      </c>
      <c r="F59" s="327">
        <v>0.3</v>
      </c>
      <c r="G59" s="28"/>
      <c r="H59" s="28"/>
      <c r="I59" s="28"/>
      <c r="J59" s="28"/>
      <c r="K59" s="28"/>
      <c r="L59" s="28"/>
      <c r="M59" s="28"/>
      <c r="N59" s="28"/>
      <c r="O59" s="28"/>
      <c r="P59" s="20"/>
      <c r="Q59" s="872"/>
      <c r="R59" s="803"/>
      <c r="S59" s="20"/>
      <c r="T59" s="810"/>
      <c r="U59" s="812"/>
      <c r="V59" s="3"/>
      <c r="W59" s="3"/>
      <c r="X59" s="3"/>
      <c r="Y59" s="3"/>
      <c r="Z59" s="3"/>
      <c r="AA59" s="3"/>
      <c r="AB59" s="3"/>
      <c r="AC59" s="3"/>
      <c r="AD59" s="3"/>
      <c r="AE59" s="3"/>
      <c r="AF59" s="3"/>
      <c r="AG59" s="3"/>
      <c r="AH59" s="3"/>
      <c r="AI59" s="3"/>
      <c r="AJ59" s="3"/>
      <c r="AK59" s="3"/>
      <c r="AL59" s="3"/>
      <c r="AM59" s="3"/>
      <c r="AN59" s="3"/>
    </row>
    <row r="60" spans="1:40" ht="15.75" customHeight="1">
      <c r="A60" s="3"/>
      <c r="B60" s="801"/>
      <c r="C60" s="20"/>
      <c r="D60" s="28"/>
      <c r="E60" s="28"/>
      <c r="F60" s="28"/>
      <c r="G60" s="28"/>
      <c r="H60" s="28"/>
      <c r="I60" s="28"/>
      <c r="J60" s="28"/>
      <c r="K60" s="28"/>
      <c r="L60" s="28"/>
      <c r="M60" s="28"/>
      <c r="N60" s="28"/>
      <c r="O60" s="28"/>
      <c r="P60" s="20"/>
      <c r="Q60" s="810"/>
      <c r="R60" s="812"/>
      <c r="S60" s="20"/>
      <c r="T60" s="19"/>
      <c r="U60" s="19"/>
      <c r="V60" s="3"/>
      <c r="W60" s="3"/>
      <c r="X60" s="3"/>
      <c r="Y60" s="3"/>
      <c r="Z60" s="3"/>
      <c r="AA60" s="3"/>
      <c r="AB60" s="3"/>
      <c r="AC60" s="3"/>
      <c r="AD60" s="3"/>
      <c r="AE60" s="3"/>
      <c r="AF60" s="3"/>
      <c r="AG60" s="3"/>
      <c r="AH60" s="3"/>
      <c r="AI60" s="3"/>
      <c r="AJ60" s="3"/>
      <c r="AK60" s="3"/>
      <c r="AL60" s="3"/>
      <c r="AM60" s="3"/>
      <c r="AN60" s="3"/>
    </row>
    <row r="61" spans="1:40" ht="15.75" customHeight="1">
      <c r="A61" s="3"/>
      <c r="B61" s="20"/>
      <c r="C61" s="20"/>
      <c r="D61" s="189" t="s">
        <v>1099</v>
      </c>
      <c r="E61" s="20"/>
      <c r="F61" s="20"/>
      <c r="G61" s="20"/>
      <c r="H61" s="20"/>
      <c r="I61" s="20"/>
      <c r="J61" s="20"/>
      <c r="K61" s="20"/>
      <c r="L61" s="20"/>
      <c r="M61" s="20"/>
      <c r="N61" s="20"/>
      <c r="O61" s="20"/>
      <c r="P61" s="20"/>
      <c r="Q61" s="20"/>
      <c r="R61" s="20"/>
      <c r="S61" s="20"/>
      <c r="T61" s="20"/>
      <c r="U61" s="20"/>
      <c r="V61" s="3"/>
      <c r="W61" s="3"/>
      <c r="X61" s="3"/>
      <c r="Y61" s="3"/>
      <c r="Z61" s="3"/>
      <c r="AA61" s="3"/>
      <c r="AB61" s="3"/>
      <c r="AC61" s="3"/>
      <c r="AD61" s="3"/>
      <c r="AE61" s="3"/>
      <c r="AF61" s="3"/>
      <c r="AG61" s="3"/>
      <c r="AH61" s="3"/>
      <c r="AI61" s="3"/>
      <c r="AJ61" s="3"/>
      <c r="AK61" s="3"/>
      <c r="AL61" s="3"/>
      <c r="AM61" s="3"/>
      <c r="AN61" s="3"/>
    </row>
    <row r="62" spans="1:40" ht="15.75" customHeight="1">
      <c r="A62" s="3"/>
      <c r="B62" s="20"/>
      <c r="C62" s="20"/>
      <c r="D62" s="20"/>
      <c r="E62" s="20"/>
      <c r="F62" s="20"/>
      <c r="G62" s="20"/>
      <c r="H62" s="20"/>
      <c r="I62" s="20"/>
      <c r="J62" s="20"/>
      <c r="K62" s="20"/>
      <c r="L62" s="20"/>
      <c r="M62" s="20"/>
      <c r="N62" s="20"/>
      <c r="O62" s="20"/>
      <c r="P62" s="20"/>
      <c r="Q62" s="20"/>
      <c r="R62" s="20"/>
      <c r="S62" s="20"/>
      <c r="T62" s="20"/>
      <c r="U62" s="20"/>
      <c r="V62" s="3"/>
      <c r="W62" s="3"/>
      <c r="X62" s="3"/>
      <c r="Y62" s="3"/>
      <c r="Z62" s="3"/>
      <c r="AA62" s="3"/>
      <c r="AB62" s="3"/>
      <c r="AC62" s="3"/>
      <c r="AD62" s="3"/>
      <c r="AE62" s="3"/>
      <c r="AF62" s="3"/>
      <c r="AG62" s="3"/>
      <c r="AH62" s="3"/>
      <c r="AI62" s="3"/>
      <c r="AJ62" s="3"/>
      <c r="AK62" s="3"/>
      <c r="AL62" s="3"/>
      <c r="AM62" s="3"/>
      <c r="AN62" s="3"/>
    </row>
    <row r="63" spans="1:40" ht="15.75" customHeight="1">
      <c r="A63" s="3"/>
      <c r="B63" s="20"/>
      <c r="C63" s="20"/>
      <c r="D63" s="20"/>
      <c r="E63" s="20"/>
      <c r="F63" s="20"/>
      <c r="G63" s="20"/>
      <c r="H63" s="20"/>
      <c r="I63" s="20"/>
      <c r="J63" s="20"/>
      <c r="K63" s="20"/>
      <c r="L63" s="20"/>
      <c r="M63" s="20"/>
      <c r="N63" s="20"/>
      <c r="O63" s="20"/>
      <c r="P63" s="20"/>
      <c r="Q63" s="20"/>
      <c r="R63" s="20"/>
      <c r="S63" s="20"/>
      <c r="T63" s="20"/>
      <c r="U63" s="20"/>
      <c r="V63" s="3"/>
      <c r="W63" s="3"/>
      <c r="X63" s="3"/>
      <c r="Y63" s="3"/>
      <c r="Z63" s="3"/>
      <c r="AA63" s="3"/>
      <c r="AB63" s="3"/>
      <c r="AC63" s="3"/>
      <c r="AD63" s="3"/>
      <c r="AE63" s="3"/>
      <c r="AF63" s="3"/>
      <c r="AG63" s="3"/>
      <c r="AH63" s="3"/>
      <c r="AI63" s="3"/>
      <c r="AJ63" s="3"/>
      <c r="AK63" s="3"/>
      <c r="AL63" s="3"/>
      <c r="AM63" s="3"/>
      <c r="AN63" s="3"/>
    </row>
    <row r="64" spans="1:40" ht="15.75" customHeight="1">
      <c r="A64" s="3"/>
      <c r="B64" s="20"/>
      <c r="C64" s="20"/>
      <c r="D64" s="20"/>
      <c r="E64" s="20"/>
      <c r="F64" s="20"/>
      <c r="G64" s="20"/>
      <c r="H64" s="20"/>
      <c r="I64" s="20"/>
      <c r="J64" s="20"/>
      <c r="K64" s="20"/>
      <c r="L64" s="20"/>
      <c r="M64" s="20"/>
      <c r="N64" s="20"/>
      <c r="O64" s="20"/>
      <c r="P64" s="20"/>
      <c r="Q64" s="20"/>
      <c r="R64" s="20"/>
      <c r="S64" s="20"/>
      <c r="T64" s="20"/>
      <c r="U64" s="20"/>
      <c r="V64" s="3"/>
      <c r="W64" s="3"/>
      <c r="X64" s="3"/>
      <c r="Y64" s="3"/>
      <c r="Z64" s="3"/>
      <c r="AA64" s="3"/>
      <c r="AB64" s="3"/>
      <c r="AC64" s="3"/>
      <c r="AD64" s="3"/>
      <c r="AE64" s="3"/>
      <c r="AF64" s="3"/>
      <c r="AG64" s="3"/>
      <c r="AH64" s="3"/>
      <c r="AI64" s="3"/>
      <c r="AJ64" s="3"/>
      <c r="AK64" s="3"/>
      <c r="AL64" s="3"/>
      <c r="AM64" s="3"/>
      <c r="AN64" s="3"/>
    </row>
    <row r="65" spans="1:40"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row>
    <row r="66" spans="1:40"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row>
    <row r="67" spans="1:40"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row>
    <row r="68" spans="1:40"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row>
    <row r="69" spans="1:40"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row>
    <row r="70" spans="1:40"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row>
    <row r="71" spans="1:40"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row>
    <row r="72" spans="1:40"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row>
    <row r="73" spans="1:40"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row>
    <row r="74" spans="1:40"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row>
    <row r="75" spans="1:40"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row>
    <row r="76" spans="1:40"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row>
    <row r="77" spans="1:40"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row>
    <row r="78" spans="1:40"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row>
    <row r="79" spans="1:40"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row>
    <row r="80" spans="1:40"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row>
    <row r="81" spans="1:40"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row>
    <row r="82" spans="1:40"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row>
    <row r="83" spans="1:40"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row>
    <row r="84" spans="1:40"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row>
    <row r="85" spans="1:40"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row>
    <row r="86" spans="1:40"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row>
    <row r="87" spans="1:40"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row>
    <row r="88" spans="1:40"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row>
    <row r="89" spans="1:40"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row>
    <row r="90" spans="1:40"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row>
    <row r="91" spans="1:40"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row>
    <row r="92" spans="1:40"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row>
    <row r="93" spans="1:40"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row>
    <row r="94" spans="1:40"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row>
    <row r="95" spans="1:40"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row>
    <row r="96" spans="1:40"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row>
    <row r="97" spans="1:40"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row>
    <row r="98" spans="1:40"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row>
    <row r="99" spans="1:40"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row>
    <row r="100" spans="1:40"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row>
    <row r="101" spans="1:40"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row>
    <row r="102" spans="1:40"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row>
    <row r="103" spans="1:40"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row>
    <row r="104" spans="1:40"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row>
    <row r="105" spans="1:40"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row>
    <row r="106" spans="1:40"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row>
    <row r="107" spans="1:40"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row>
    <row r="108" spans="1:40"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row>
    <row r="109" spans="1:40"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row>
    <row r="110" spans="1:40"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row>
    <row r="111" spans="1:40"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row>
    <row r="112" spans="1:40"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row>
    <row r="113" spans="1:40"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row>
    <row r="114" spans="1:40"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row>
    <row r="115" spans="1:40"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row>
    <row r="116" spans="1:40"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row>
    <row r="117" spans="1:40"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row>
    <row r="118" spans="1:40"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row>
    <row r="119" spans="1:40"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row>
    <row r="120" spans="1:40"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row>
    <row r="121" spans="1:40"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row>
    <row r="122" spans="1:40"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row>
    <row r="123" spans="1:40"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row>
    <row r="124" spans="1:40"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row>
    <row r="125" spans="1:40"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row>
    <row r="126" spans="1:40"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row>
    <row r="127" spans="1:40"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row>
    <row r="128" spans="1:40"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row>
    <row r="129" spans="1:40"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row>
    <row r="130" spans="1:40"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row>
    <row r="131" spans="1:40"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row>
    <row r="132" spans="1:40"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row>
    <row r="133" spans="1:40"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row>
    <row r="134" spans="1:40"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row>
    <row r="135" spans="1:40"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row>
    <row r="136" spans="1:40"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row>
    <row r="137" spans="1:40"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row>
    <row r="138" spans="1:40"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row>
    <row r="139" spans="1:40"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row>
    <row r="140" spans="1:40"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row>
    <row r="141" spans="1:40"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row>
    <row r="142" spans="1:40"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row>
    <row r="143" spans="1:40"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row>
    <row r="144" spans="1:40"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row>
    <row r="145" spans="1:40"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row>
    <row r="146" spans="1:40"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row>
    <row r="147" spans="1:40"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row>
    <row r="148" spans="1:40"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row>
    <row r="149" spans="1:40"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row>
    <row r="150" spans="1:40"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row>
    <row r="151" spans="1:40"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row>
    <row r="152" spans="1:40"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row>
    <row r="153" spans="1:40"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row>
    <row r="154" spans="1:40"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row>
    <row r="155" spans="1:40"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row>
    <row r="156" spans="1:40"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row>
    <row r="157" spans="1:40"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row>
    <row r="158" spans="1:40"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row>
    <row r="159" spans="1:40"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row>
    <row r="160" spans="1:40"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row>
    <row r="161" spans="1:40"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row>
    <row r="162" spans="1:40"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row>
    <row r="163" spans="1:40"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row>
    <row r="164" spans="1:40"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row>
    <row r="165" spans="1:40"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row>
    <row r="166" spans="1:40"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row>
    <row r="167" spans="1:40"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row>
    <row r="168" spans="1:40"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row>
    <row r="169" spans="1:40"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row>
    <row r="170" spans="1:40"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row>
    <row r="171" spans="1:40"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row>
    <row r="172" spans="1:40"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row>
    <row r="173" spans="1:40"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row>
    <row r="174" spans="1:40"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row>
    <row r="175" spans="1:40"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row>
    <row r="176" spans="1:40"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row>
    <row r="177" spans="1:40"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row>
    <row r="178" spans="1:40"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row>
    <row r="179" spans="1:40"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row>
    <row r="180" spans="1:40"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row>
    <row r="181" spans="1:40"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row>
    <row r="182" spans="1:40"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row>
    <row r="183" spans="1:40"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row>
    <row r="184" spans="1:40"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row>
    <row r="185" spans="1:40"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row>
    <row r="186" spans="1:40"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row>
    <row r="187" spans="1:40"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row>
    <row r="188" spans="1:40"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row>
    <row r="189" spans="1:40"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row>
    <row r="190" spans="1:40"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row>
    <row r="191" spans="1:40"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row>
    <row r="192" spans="1:40"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row>
    <row r="193" spans="1:40"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row>
    <row r="194" spans="1:40"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row>
    <row r="195" spans="1:40"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row>
    <row r="196" spans="1:40"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row>
    <row r="197" spans="1:40"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row>
    <row r="198" spans="1:40"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row>
    <row r="199" spans="1:40"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row>
    <row r="200" spans="1:40"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row>
    <row r="201" spans="1:40"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row>
    <row r="202" spans="1:40"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row>
    <row r="203" spans="1:40"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row>
    <row r="204" spans="1:40"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row>
    <row r="205" spans="1:40"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row>
    <row r="206" spans="1:40"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row>
    <row r="207" spans="1:40"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row>
    <row r="208" spans="1:40"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row>
    <row r="209" spans="1:40"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row>
    <row r="210" spans="1:40"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row>
    <row r="211" spans="1:40"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row>
    <row r="212" spans="1:40"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row>
    <row r="213" spans="1:40"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row>
    <row r="214" spans="1:40"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row>
    <row r="215" spans="1:40"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row>
    <row r="216" spans="1:40"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row>
    <row r="217" spans="1:40"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row>
    <row r="218" spans="1:40"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row>
    <row r="219" spans="1:40"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row>
    <row r="220" spans="1:40"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row>
    <row r="221" spans="1:40"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row>
    <row r="222" spans="1:40"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row>
    <row r="223" spans="1:40"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row>
    <row r="224" spans="1:40"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row>
    <row r="225" spans="1:40"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row>
    <row r="226" spans="1:40"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row>
    <row r="227" spans="1:40"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row>
    <row r="228" spans="1:40"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row>
    <row r="229" spans="1:40"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row>
    <row r="230" spans="1:40"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row>
    <row r="231" spans="1:40"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row>
    <row r="232" spans="1:40"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row>
    <row r="233" spans="1:40"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row>
    <row r="234" spans="1:40"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row>
    <row r="235" spans="1:40"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row>
    <row r="236" spans="1:40"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row>
    <row r="237" spans="1:40"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row>
    <row r="238" spans="1:40"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row>
    <row r="239" spans="1:40"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row>
    <row r="240" spans="1:40"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row>
    <row r="241" spans="1:40"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row>
    <row r="242" spans="1:40"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row>
    <row r="243" spans="1:40"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row>
    <row r="244" spans="1:40"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row>
    <row r="245" spans="1:40"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row>
    <row r="246" spans="1:40"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row>
    <row r="247" spans="1:40"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row>
    <row r="248" spans="1:40"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row>
    <row r="249" spans="1:40"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row>
    <row r="250" spans="1:40"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row>
    <row r="251" spans="1:40"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row>
    <row r="252" spans="1:40"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row>
    <row r="253" spans="1:40"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row>
    <row r="254" spans="1:40"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row>
    <row r="255" spans="1:40"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row>
    <row r="256" spans="1:40"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row>
    <row r="257" spans="1:40"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row>
    <row r="258" spans="1:40"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row>
    <row r="259" spans="1:40"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row>
    <row r="260" spans="1:40"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row>
    <row r="261" spans="1:40"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row>
    <row r="262" spans="1:40" ht="15.75" customHeight="1"/>
    <row r="263" spans="1:40" ht="15.75" customHeight="1"/>
    <row r="264" spans="1:40" ht="15.75" customHeight="1"/>
    <row r="265" spans="1:40" ht="15.75" customHeight="1"/>
    <row r="266" spans="1:40" ht="15.75" customHeight="1"/>
    <row r="267" spans="1:40" ht="15.75" customHeight="1"/>
    <row r="268" spans="1:40" ht="15.75" customHeight="1"/>
    <row r="269" spans="1:40" ht="15.75" customHeight="1"/>
    <row r="270" spans="1:40" ht="15.75" customHeight="1"/>
    <row r="271" spans="1:40" ht="15.75" customHeight="1"/>
    <row r="272" spans="1:40"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sheetProtection algorithmName="SHA-512" hashValue="QBFYUzwPmYoHMjHQUZzh9BmImtmoWL4DAZuhffKo/KS2xsS7c3owOTzqgWFwX4kExPwZrkDpsQKcT9okxJWLuw==" saltValue="otaURZees4RWmzM2AngqHg==" spinCount="100000" sheet="1" objects="1" scenarios="1"/>
  <mergeCells count="12">
    <mergeCell ref="D3:H3"/>
    <mergeCell ref="Q4:R8"/>
    <mergeCell ref="B50:B55"/>
    <mergeCell ref="B11:B34"/>
    <mergeCell ref="E12:I12"/>
    <mergeCell ref="J12:N12"/>
    <mergeCell ref="Q11:R14"/>
    <mergeCell ref="Q57:R60"/>
    <mergeCell ref="Q52:R54"/>
    <mergeCell ref="T57:U59"/>
    <mergeCell ref="B4:B8"/>
    <mergeCell ref="B57:B60"/>
  </mergeCells>
  <dataValidations disablePrompts="1" count="4">
    <dataValidation type="list" allowBlank="1" showInputMessage="1" showErrorMessage="1" sqref="E14 J14" xr:uid="{02E0C22C-12BB-4D54-9C58-05D04FA374A3}">
      <formula1>"kWh,kBtu"</formula1>
    </dataValidation>
    <dataValidation type="list" allowBlank="1" showInputMessage="1" showErrorMessage="1" sqref="F14 K14" xr:uid="{67F53E3B-5CC3-4F80-BF73-8925331386A8}">
      <formula1>"kBtu,MBtu,cf,ccf,kcf,Therms,Cubic Meters"</formula1>
    </dataValidation>
    <dataValidation type="list" allowBlank="1" showInputMessage="1" showErrorMessage="1" sqref="G14 L14" xr:uid="{D5D7E9AA-5518-4FF9-A5CB-33AC5E83A366}">
      <formula1>"kBtu,MBtu,Ton Hours,GJ"</formula1>
    </dataValidation>
    <dataValidation type="list" allowBlank="1" showInputMessage="1" showErrorMessage="1" sqref="H14 M14" xr:uid="{78903BEA-FA1D-4DE5-8D5D-55F05731ABA4}">
      <formula1>"kBtu,MBtu,GJ,Lbs,kLbs,MLbs,Therms,kg"</formula1>
    </dataValidation>
  </dataValidations>
  <pageMargins left="0.7" right="0.7" top="0.75" bottom="0.75" header="0" footer="0"/>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AK1001"/>
  <sheetViews>
    <sheetView zoomScale="85" zoomScaleNormal="85" workbookViewId="0">
      <pane ySplit="3" topLeftCell="A17" activePane="bottomLeft" state="frozen"/>
      <selection pane="bottomLeft" activeCell="K44" sqref="K44"/>
    </sheetView>
  </sheetViews>
  <sheetFormatPr defaultColWidth="14.42578125" defaultRowHeight="15" customHeight="1"/>
  <cols>
    <col min="1" max="1" width="3.7109375" customWidth="1"/>
    <col min="2" max="2" width="57.42578125" customWidth="1"/>
    <col min="3" max="3" width="2.140625" customWidth="1"/>
    <col min="4" max="4" width="47.7109375" customWidth="1"/>
    <col min="5" max="5" width="8.7109375" customWidth="1"/>
    <col min="6" max="6" width="9.85546875" customWidth="1"/>
    <col min="7" max="7" width="13.28515625" customWidth="1"/>
    <col min="8" max="8" width="26.42578125" customWidth="1"/>
    <col min="9" max="9" width="8.7109375" customWidth="1"/>
    <col min="10" max="10" width="2.7109375" customWidth="1"/>
    <col min="11" max="11" width="24.28515625" customWidth="1"/>
    <col min="12" max="12" width="7" customWidth="1"/>
    <col min="13" max="13" width="12.140625" customWidth="1"/>
    <col min="14" max="14" width="9.42578125" customWidth="1"/>
    <col min="15" max="15" width="11" customWidth="1"/>
    <col min="16" max="16" width="2.42578125" customWidth="1"/>
    <col min="17" max="19" width="12.7109375" customWidth="1"/>
    <col min="20" max="20" width="5" customWidth="1"/>
  </cols>
  <sheetData>
    <row r="1" spans="1:37" ht="42.75" customHeight="1">
      <c r="A1" s="52" t="s">
        <v>466</v>
      </c>
      <c r="B1" s="52"/>
      <c r="C1" s="52"/>
      <c r="D1" s="52"/>
      <c r="E1" s="17"/>
      <c r="F1" s="17"/>
      <c r="G1" s="17"/>
      <c r="H1" s="17"/>
      <c r="I1" s="17"/>
      <c r="J1" s="17"/>
      <c r="K1" s="17"/>
      <c r="L1" s="17"/>
      <c r="M1" s="17"/>
      <c r="N1" s="17"/>
      <c r="O1" s="17"/>
      <c r="P1" s="17"/>
      <c r="Q1" s="17"/>
      <c r="R1" s="17"/>
      <c r="S1" s="17"/>
      <c r="T1" s="17"/>
      <c r="U1" s="3"/>
      <c r="V1" s="3"/>
      <c r="W1" s="3"/>
      <c r="X1" s="3"/>
      <c r="Y1" s="3"/>
      <c r="Z1" s="3"/>
      <c r="AA1" s="3"/>
      <c r="AB1" s="3"/>
      <c r="AC1" s="3"/>
      <c r="AD1" s="3"/>
      <c r="AE1" s="3"/>
      <c r="AF1" s="3"/>
      <c r="AG1" s="3"/>
      <c r="AH1" s="3"/>
      <c r="AI1" s="3"/>
      <c r="AJ1" s="3"/>
      <c r="AK1" s="3"/>
    </row>
    <row r="2" spans="1:37" ht="15.7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37" ht="15.75" customHeight="1">
      <c r="A3" s="9"/>
      <c r="B3" s="15" t="s">
        <v>5</v>
      </c>
      <c r="C3" s="9"/>
      <c r="D3" s="849" t="s">
        <v>300</v>
      </c>
      <c r="E3" s="716"/>
      <c r="F3" s="716"/>
      <c r="G3" s="717"/>
      <c r="H3" s="9"/>
      <c r="I3" s="9"/>
      <c r="J3" s="9"/>
      <c r="K3" s="15" t="s">
        <v>9</v>
      </c>
      <c r="L3" s="15"/>
      <c r="M3" s="15"/>
      <c r="N3" s="15"/>
      <c r="O3" s="15"/>
      <c r="P3" s="15"/>
      <c r="Q3" s="15" t="s">
        <v>10</v>
      </c>
      <c r="R3" s="9"/>
      <c r="S3" s="9"/>
      <c r="T3" s="9"/>
      <c r="U3" s="3"/>
      <c r="V3" s="3"/>
      <c r="W3" s="3"/>
      <c r="X3" s="3"/>
      <c r="Y3" s="3"/>
      <c r="Z3" s="3"/>
      <c r="AA3" s="3"/>
      <c r="AB3" s="3"/>
      <c r="AC3" s="3"/>
      <c r="AD3" s="3"/>
      <c r="AE3" s="3"/>
      <c r="AF3" s="3"/>
      <c r="AG3" s="3"/>
      <c r="AH3" s="3"/>
      <c r="AI3" s="3"/>
      <c r="AJ3" s="3"/>
      <c r="AK3" s="3"/>
    </row>
    <row r="4" spans="1:37">
      <c r="A4" s="3"/>
      <c r="B4" s="799" t="s">
        <v>468</v>
      </c>
      <c r="C4" s="20"/>
      <c r="D4" s="26" t="s">
        <v>469</v>
      </c>
      <c r="E4" s="26"/>
      <c r="F4" s="26"/>
      <c r="G4" s="26"/>
      <c r="H4" s="26"/>
      <c r="I4" s="26"/>
      <c r="J4" s="20"/>
      <c r="K4" s="19"/>
      <c r="L4" s="19"/>
      <c r="M4" s="19"/>
      <c r="N4" s="19"/>
      <c r="O4" s="19"/>
      <c r="P4" s="20"/>
      <c r="Q4" s="19"/>
      <c r="R4" s="19"/>
      <c r="S4" s="19"/>
      <c r="T4" s="3"/>
      <c r="U4" s="3"/>
      <c r="V4" s="3"/>
      <c r="W4" s="3"/>
      <c r="X4" s="3"/>
      <c r="Y4" s="3"/>
      <c r="Z4" s="3"/>
      <c r="AA4" s="3"/>
      <c r="AB4" s="3"/>
      <c r="AC4" s="3"/>
      <c r="AD4" s="3"/>
      <c r="AE4" s="3"/>
      <c r="AF4" s="3"/>
      <c r="AG4" s="3"/>
      <c r="AH4" s="3"/>
      <c r="AI4" s="3"/>
      <c r="AJ4" s="3"/>
      <c r="AK4" s="3"/>
    </row>
    <row r="5" spans="1:37">
      <c r="A5" s="3"/>
      <c r="B5" s="800"/>
      <c r="C5" s="20"/>
      <c r="D5" s="27"/>
      <c r="E5" s="378"/>
      <c r="F5" s="27"/>
      <c r="G5" s="28"/>
      <c r="H5" s="28"/>
      <c r="I5" s="28"/>
      <c r="J5" s="20"/>
      <c r="K5" s="49"/>
      <c r="L5" s="49" t="s">
        <v>470</v>
      </c>
      <c r="M5" s="891" t="s">
        <v>471</v>
      </c>
      <c r="N5" s="840"/>
      <c r="O5" s="49" t="s">
        <v>474</v>
      </c>
      <c r="P5" s="20"/>
      <c r="Q5" s="19"/>
      <c r="R5" s="19"/>
      <c r="S5" s="19"/>
      <c r="T5" s="3"/>
      <c r="U5" s="3"/>
      <c r="V5" s="3"/>
      <c r="W5" s="3"/>
      <c r="X5" s="3"/>
      <c r="Y5" s="3"/>
      <c r="Z5" s="3"/>
      <c r="AA5" s="3"/>
      <c r="AB5" s="3"/>
      <c r="AC5" s="3"/>
      <c r="AD5" s="3"/>
      <c r="AE5" s="3"/>
      <c r="AF5" s="3"/>
      <c r="AG5" s="3"/>
      <c r="AH5" s="3"/>
      <c r="AI5" s="3"/>
      <c r="AJ5" s="3"/>
      <c r="AK5" s="3"/>
    </row>
    <row r="6" spans="1:37">
      <c r="A6" s="3"/>
      <c r="B6" s="800"/>
      <c r="C6" s="20"/>
      <c r="D6" s="27" t="s">
        <v>475</v>
      </c>
      <c r="E6" s="614">
        <f>Introduction!F14</f>
        <v>14000</v>
      </c>
      <c r="F6" s="28" t="s">
        <v>64</v>
      </c>
      <c r="G6" s="28"/>
      <c r="H6" s="28"/>
      <c r="I6" s="28"/>
      <c r="J6" s="20"/>
      <c r="K6" s="19" t="s">
        <v>476</v>
      </c>
      <c r="L6" s="88" t="s">
        <v>477</v>
      </c>
      <c r="M6" s="887">
        <v>0.6</v>
      </c>
      <c r="N6" s="720"/>
      <c r="O6" s="88" t="s">
        <v>479</v>
      </c>
      <c r="P6" s="20"/>
      <c r="Q6" s="19"/>
      <c r="R6" s="19"/>
      <c r="S6" s="19"/>
      <c r="T6" s="3"/>
      <c r="U6" s="3"/>
      <c r="V6" s="3"/>
      <c r="W6" s="3"/>
      <c r="X6" s="3"/>
      <c r="Y6" s="3"/>
      <c r="Z6" s="3"/>
      <c r="AA6" s="3"/>
      <c r="AB6" s="3"/>
      <c r="AC6" s="3"/>
      <c r="AD6" s="3"/>
      <c r="AE6" s="3"/>
      <c r="AF6" s="3"/>
      <c r="AG6" s="3"/>
      <c r="AH6" s="3"/>
      <c r="AI6" s="3"/>
      <c r="AJ6" s="3"/>
      <c r="AK6" s="3"/>
    </row>
    <row r="7" spans="1:37">
      <c r="A7" s="3"/>
      <c r="B7" s="800"/>
      <c r="C7" s="20"/>
      <c r="D7" s="27" t="s">
        <v>480</v>
      </c>
      <c r="E7" s="41">
        <f>E6/Introduction!F12</f>
        <v>0.5714285714285714</v>
      </c>
      <c r="F7" s="28"/>
      <c r="G7" s="28"/>
      <c r="H7" s="28"/>
      <c r="I7" s="28"/>
      <c r="J7" s="20"/>
      <c r="K7" s="19" t="s">
        <v>104</v>
      </c>
      <c r="L7" s="88" t="s">
        <v>485</v>
      </c>
      <c r="M7" s="887">
        <v>0.8</v>
      </c>
      <c r="N7" s="720"/>
      <c r="O7" s="88" t="s">
        <v>477</v>
      </c>
      <c r="P7" s="20"/>
      <c r="Q7" s="19"/>
      <c r="R7" s="19"/>
      <c r="S7" s="19"/>
      <c r="T7" s="3"/>
      <c r="U7" s="3"/>
      <c r="V7" s="3"/>
      <c r="W7" s="3"/>
      <c r="X7" s="3"/>
      <c r="Y7" s="3"/>
      <c r="Z7" s="3"/>
      <c r="AA7" s="3"/>
      <c r="AB7" s="3"/>
      <c r="AC7" s="3"/>
      <c r="AD7" s="3"/>
      <c r="AE7" s="3"/>
      <c r="AF7" s="3"/>
      <c r="AG7" s="3"/>
      <c r="AH7" s="3"/>
      <c r="AI7" s="3"/>
      <c r="AJ7" s="3"/>
      <c r="AK7" s="3"/>
    </row>
    <row r="8" spans="1:37">
      <c r="A8" s="3"/>
      <c r="B8" s="800"/>
      <c r="C8" s="20"/>
      <c r="D8" s="27" t="s">
        <v>487</v>
      </c>
      <c r="E8" s="322">
        <v>14000</v>
      </c>
      <c r="F8" s="28" t="s">
        <v>64</v>
      </c>
      <c r="G8" s="171">
        <f t="shared" ref="G8:G10" si="0">E8/$E$6</f>
        <v>1</v>
      </c>
      <c r="H8" s="28"/>
      <c r="I8" s="28"/>
      <c r="J8" s="20"/>
      <c r="K8" s="19" t="s">
        <v>115</v>
      </c>
      <c r="L8" s="172">
        <v>1</v>
      </c>
      <c r="M8" s="887">
        <v>1</v>
      </c>
      <c r="N8" s="720"/>
      <c r="O8" s="88" t="s">
        <v>493</v>
      </c>
      <c r="P8" s="20"/>
      <c r="Q8" s="19"/>
      <c r="R8" s="19"/>
      <c r="S8" s="19"/>
      <c r="T8" s="3"/>
      <c r="U8" s="3"/>
      <c r="V8" s="3"/>
      <c r="W8" s="3"/>
      <c r="X8" s="3"/>
      <c r="Y8" s="3"/>
      <c r="Z8" s="3"/>
      <c r="AA8" s="3"/>
      <c r="AB8" s="3"/>
      <c r="AC8" s="3"/>
      <c r="AD8" s="3"/>
      <c r="AE8" s="3"/>
      <c r="AF8" s="3"/>
      <c r="AG8" s="3"/>
      <c r="AH8" s="3"/>
      <c r="AI8" s="3"/>
      <c r="AJ8" s="3"/>
      <c r="AK8" s="3"/>
    </row>
    <row r="9" spans="1:37">
      <c r="A9" s="3"/>
      <c r="B9" s="800"/>
      <c r="C9" s="20"/>
      <c r="D9" s="27" t="s">
        <v>494</v>
      </c>
      <c r="E9" s="322">
        <v>9000</v>
      </c>
      <c r="F9" s="28" t="s">
        <v>64</v>
      </c>
      <c r="G9" s="171">
        <f t="shared" si="0"/>
        <v>0.6428571428571429</v>
      </c>
      <c r="H9" s="28"/>
      <c r="I9" s="28"/>
      <c r="J9" s="20"/>
      <c r="K9" s="19"/>
      <c r="L9" s="19"/>
      <c r="M9" s="19"/>
      <c r="N9" s="19"/>
      <c r="O9" s="19"/>
      <c r="P9" s="20"/>
      <c r="Q9" s="19"/>
      <c r="R9" s="19"/>
      <c r="S9" s="19"/>
      <c r="T9" s="3"/>
      <c r="U9" s="3"/>
      <c r="V9" s="3"/>
      <c r="W9" s="3"/>
      <c r="X9" s="3"/>
      <c r="Y9" s="3"/>
      <c r="Z9" s="3"/>
      <c r="AA9" s="3"/>
      <c r="AB9" s="3"/>
      <c r="AC9" s="3"/>
      <c r="AD9" s="3"/>
      <c r="AE9" s="3"/>
      <c r="AF9" s="3"/>
      <c r="AG9" s="3"/>
      <c r="AH9" s="3"/>
      <c r="AI9" s="3"/>
      <c r="AJ9" s="3"/>
      <c r="AK9" s="3"/>
    </row>
    <row r="10" spans="1:37">
      <c r="A10" s="3"/>
      <c r="B10" s="800"/>
      <c r="C10" s="20"/>
      <c r="D10" s="27" t="s">
        <v>496</v>
      </c>
      <c r="E10" s="322">
        <v>14000</v>
      </c>
      <c r="F10" s="28" t="s">
        <v>64</v>
      </c>
      <c r="G10" s="171">
        <f t="shared" si="0"/>
        <v>1</v>
      </c>
      <c r="H10" s="28"/>
      <c r="I10" s="28"/>
      <c r="J10" s="20"/>
      <c r="K10" s="19"/>
      <c r="L10" s="19"/>
      <c r="M10" s="19"/>
      <c r="N10" s="19"/>
      <c r="O10" s="19"/>
      <c r="P10" s="20"/>
      <c r="Q10" s="19"/>
      <c r="R10" s="19"/>
      <c r="S10" s="19"/>
      <c r="T10" s="3"/>
      <c r="U10" s="3"/>
      <c r="V10" s="3"/>
      <c r="W10" s="3"/>
      <c r="X10" s="3"/>
      <c r="Y10" s="3"/>
      <c r="Z10" s="3"/>
      <c r="AA10" s="3"/>
      <c r="AB10" s="3"/>
      <c r="AC10" s="3"/>
      <c r="AD10" s="3"/>
      <c r="AE10" s="3"/>
      <c r="AF10" s="3"/>
      <c r="AG10" s="3"/>
      <c r="AH10" s="3"/>
      <c r="AI10" s="3"/>
      <c r="AJ10" s="3"/>
      <c r="AK10" s="3"/>
    </row>
    <row r="11" spans="1:37">
      <c r="A11" s="3"/>
      <c r="B11" s="800"/>
      <c r="C11" s="20"/>
      <c r="D11" s="27" t="s">
        <v>502</v>
      </c>
      <c r="E11" s="322" t="s">
        <v>90</v>
      </c>
      <c r="F11" s="28"/>
      <c r="G11" s="28"/>
      <c r="H11" s="28"/>
      <c r="I11" s="28"/>
      <c r="J11" s="20"/>
      <c r="K11" s="19"/>
      <c r="L11" s="19"/>
      <c r="M11" s="19"/>
      <c r="N11" s="19"/>
      <c r="O11" s="19"/>
      <c r="P11" s="20"/>
      <c r="Q11" s="19"/>
      <c r="R11" s="19"/>
      <c r="S11" s="19"/>
      <c r="T11" s="3"/>
      <c r="U11" s="3"/>
      <c r="V11" s="3"/>
      <c r="W11" s="3"/>
      <c r="X11" s="3"/>
      <c r="Y11" s="3"/>
      <c r="Z11" s="3"/>
      <c r="AA11" s="3"/>
      <c r="AB11" s="3"/>
      <c r="AC11" s="3"/>
      <c r="AD11" s="3"/>
      <c r="AE11" s="3"/>
      <c r="AF11" s="3"/>
      <c r="AG11" s="3"/>
      <c r="AH11" s="3"/>
      <c r="AI11" s="3"/>
      <c r="AJ11" s="3"/>
      <c r="AK11" s="3"/>
    </row>
    <row r="12" spans="1:37">
      <c r="A12" s="3"/>
      <c r="B12" s="800"/>
      <c r="C12" s="20"/>
      <c r="D12" s="27" t="s">
        <v>507</v>
      </c>
      <c r="E12" s="322" t="s">
        <v>90</v>
      </c>
      <c r="F12" s="28"/>
      <c r="G12" s="28"/>
      <c r="H12" s="28"/>
      <c r="I12" s="28"/>
      <c r="J12" s="20"/>
      <c r="K12" s="19"/>
      <c r="L12" s="19"/>
      <c r="M12" s="19"/>
      <c r="N12" s="19"/>
      <c r="O12" s="19"/>
      <c r="P12" s="20"/>
      <c r="Q12" s="19"/>
      <c r="R12" s="19"/>
      <c r="S12" s="19"/>
      <c r="T12" s="3"/>
      <c r="U12" s="3"/>
      <c r="V12" s="3"/>
      <c r="W12" s="3"/>
      <c r="X12" s="3"/>
      <c r="Y12" s="3"/>
      <c r="Z12" s="3"/>
      <c r="AA12" s="3"/>
      <c r="AB12" s="3"/>
      <c r="AC12" s="3"/>
      <c r="AD12" s="3"/>
      <c r="AE12" s="3"/>
      <c r="AF12" s="3"/>
      <c r="AG12" s="3"/>
      <c r="AH12" s="3"/>
      <c r="AI12" s="3"/>
      <c r="AJ12" s="3"/>
      <c r="AK12" s="3"/>
    </row>
    <row r="13" spans="1:37">
      <c r="A13" s="3"/>
      <c r="B13" s="801"/>
      <c r="C13" s="20"/>
      <c r="D13" s="27"/>
      <c r="E13" s="27"/>
      <c r="F13" s="28"/>
      <c r="G13" s="28"/>
      <c r="H13" s="28"/>
      <c r="I13" s="28"/>
      <c r="J13" s="20"/>
      <c r="K13" s="19"/>
      <c r="L13" s="19"/>
      <c r="M13" s="19"/>
      <c r="N13" s="19"/>
      <c r="O13" s="19"/>
      <c r="P13" s="20"/>
      <c r="Q13" s="19"/>
      <c r="R13" s="19"/>
      <c r="S13" s="19"/>
      <c r="T13" s="3"/>
      <c r="U13" s="3"/>
      <c r="V13" s="3"/>
      <c r="W13" s="3"/>
      <c r="X13" s="3"/>
      <c r="Y13" s="3"/>
      <c r="Z13" s="3"/>
      <c r="AA13" s="3"/>
      <c r="AB13" s="3"/>
      <c r="AC13" s="3"/>
      <c r="AD13" s="3"/>
      <c r="AE13" s="3"/>
      <c r="AF13" s="3"/>
      <c r="AG13" s="3"/>
      <c r="AH13" s="3"/>
      <c r="AI13" s="3"/>
      <c r="AJ13" s="3"/>
      <c r="AK13" s="3"/>
    </row>
    <row r="14" spans="1:37">
      <c r="A14" s="3"/>
      <c r="B14" s="20"/>
      <c r="C14" s="20"/>
      <c r="D14" s="20"/>
      <c r="E14" s="20"/>
      <c r="F14" s="20"/>
      <c r="G14" s="20"/>
      <c r="H14" s="20"/>
      <c r="I14" s="20"/>
      <c r="J14" s="20"/>
      <c r="K14" s="20"/>
      <c r="L14" s="20"/>
      <c r="M14" s="20"/>
      <c r="N14" s="20"/>
      <c r="O14" s="20"/>
      <c r="P14" s="20"/>
      <c r="Q14" s="20"/>
      <c r="R14" s="20"/>
      <c r="S14" s="20"/>
      <c r="T14" s="3"/>
      <c r="U14" s="3"/>
      <c r="V14" s="3"/>
      <c r="W14" s="3"/>
      <c r="X14" s="3"/>
      <c r="Y14" s="3"/>
      <c r="Z14" s="3"/>
      <c r="AA14" s="3"/>
      <c r="AB14" s="3"/>
      <c r="AC14" s="3"/>
      <c r="AD14" s="3"/>
      <c r="AE14" s="3"/>
      <c r="AF14" s="3"/>
      <c r="AG14" s="3"/>
      <c r="AH14" s="3"/>
      <c r="AI14" s="3"/>
      <c r="AJ14" s="3"/>
      <c r="AK14" s="3"/>
    </row>
    <row r="15" spans="1:37">
      <c r="A15" s="3"/>
      <c r="B15" s="799" t="s">
        <v>509</v>
      </c>
      <c r="C15" s="20"/>
      <c r="D15" s="26" t="s">
        <v>510</v>
      </c>
      <c r="E15" s="26"/>
      <c r="F15" s="26"/>
      <c r="G15" s="26"/>
      <c r="H15" s="26"/>
      <c r="I15" s="26"/>
      <c r="J15" s="20"/>
      <c r="K15" s="19"/>
      <c r="L15" s="19"/>
      <c r="M15" s="19"/>
      <c r="N15" s="19"/>
      <c r="O15" s="19"/>
      <c r="P15" s="20"/>
      <c r="Q15" s="20"/>
      <c r="R15" s="20"/>
      <c r="S15" s="20"/>
      <c r="T15" s="3"/>
      <c r="U15" s="3"/>
      <c r="V15" s="3"/>
      <c r="W15" s="3"/>
      <c r="X15" s="3"/>
      <c r="Y15" s="3"/>
      <c r="Z15" s="3"/>
      <c r="AA15" s="3"/>
      <c r="AB15" s="3"/>
      <c r="AC15" s="3"/>
      <c r="AD15" s="3"/>
      <c r="AE15" s="3"/>
      <c r="AF15" s="3"/>
      <c r="AG15" s="3"/>
      <c r="AH15" s="3"/>
      <c r="AI15" s="3"/>
      <c r="AJ15" s="3"/>
      <c r="AK15" s="3"/>
    </row>
    <row r="16" spans="1:37">
      <c r="A16" s="3"/>
      <c r="B16" s="800"/>
      <c r="C16" s="20"/>
      <c r="D16" s="27"/>
      <c r="E16" s="27"/>
      <c r="F16" s="27"/>
      <c r="G16" s="28"/>
      <c r="H16" s="28"/>
      <c r="I16" s="28"/>
      <c r="J16" s="20"/>
      <c r="K16" s="49"/>
      <c r="L16" s="175" t="s">
        <v>515</v>
      </c>
      <c r="M16" s="891" t="s">
        <v>517</v>
      </c>
      <c r="N16" s="840"/>
      <c r="O16" s="175" t="s">
        <v>518</v>
      </c>
      <c r="P16" s="20"/>
      <c r="Q16" s="20"/>
      <c r="R16" s="20"/>
      <c r="S16" s="20"/>
      <c r="T16" s="3"/>
      <c r="U16" s="3"/>
      <c r="V16" s="3"/>
      <c r="W16" s="3"/>
      <c r="X16" s="3"/>
      <c r="Y16" s="3"/>
      <c r="Z16" s="3"/>
      <c r="AA16" s="3"/>
      <c r="AB16" s="3"/>
      <c r="AC16" s="3"/>
      <c r="AD16" s="3"/>
      <c r="AE16" s="3"/>
      <c r="AF16" s="3"/>
      <c r="AG16" s="3"/>
      <c r="AH16" s="3"/>
      <c r="AI16" s="3"/>
      <c r="AJ16" s="3"/>
      <c r="AK16" s="3"/>
    </row>
    <row r="17" spans="1:37">
      <c r="A17" s="3"/>
      <c r="B17" s="800"/>
      <c r="C17" s="20"/>
      <c r="D17" s="27" t="s">
        <v>521</v>
      </c>
      <c r="E17" s="334">
        <v>4</v>
      </c>
      <c r="F17" s="28" t="s">
        <v>522</v>
      </c>
      <c r="G17" s="28"/>
      <c r="H17" s="28"/>
      <c r="I17" s="28"/>
      <c r="J17" s="20"/>
      <c r="K17" s="19" t="s">
        <v>41</v>
      </c>
      <c r="L17" s="88" t="s">
        <v>523</v>
      </c>
      <c r="M17" s="853" t="s">
        <v>524</v>
      </c>
      <c r="N17" s="720"/>
      <c r="O17" s="886" t="s">
        <v>527</v>
      </c>
      <c r="P17" s="20"/>
      <c r="Q17" s="20"/>
      <c r="R17" s="20"/>
      <c r="S17" s="20"/>
      <c r="T17" s="3"/>
      <c r="U17" s="3"/>
      <c r="V17" s="3"/>
      <c r="W17" s="3"/>
      <c r="X17" s="3"/>
      <c r="Y17" s="3"/>
      <c r="Z17" s="3"/>
      <c r="AA17" s="3"/>
      <c r="AB17" s="3"/>
      <c r="AC17" s="3"/>
      <c r="AD17" s="3"/>
      <c r="AE17" s="3"/>
      <c r="AF17" s="3"/>
      <c r="AG17" s="3"/>
      <c r="AH17" s="3"/>
      <c r="AI17" s="3"/>
      <c r="AJ17" s="3"/>
      <c r="AK17" s="3"/>
    </row>
    <row r="18" spans="1:37">
      <c r="A18" s="3"/>
      <c r="B18" s="800"/>
      <c r="C18" s="20"/>
      <c r="D18" s="27" t="s">
        <v>533</v>
      </c>
      <c r="E18" s="179">
        <f>Introduction!F15/E17</f>
        <v>16.25</v>
      </c>
      <c r="F18" s="28"/>
      <c r="G18" s="28"/>
      <c r="H18" s="28"/>
      <c r="I18" s="28"/>
      <c r="J18" s="20"/>
      <c r="K18" s="19" t="s">
        <v>476</v>
      </c>
      <c r="L18" s="88"/>
      <c r="M18" s="887">
        <v>0.5</v>
      </c>
      <c r="N18" s="720"/>
      <c r="O18" s="800"/>
      <c r="P18" s="20"/>
      <c r="Q18" s="20"/>
      <c r="R18" s="20"/>
      <c r="S18" s="20"/>
      <c r="T18" s="3"/>
      <c r="U18" s="3"/>
      <c r="V18" s="3"/>
      <c r="W18" s="3"/>
      <c r="X18" s="3"/>
      <c r="Y18" s="3"/>
      <c r="Z18" s="3"/>
      <c r="AA18" s="3"/>
      <c r="AB18" s="3"/>
      <c r="AC18" s="3"/>
      <c r="AD18" s="3"/>
      <c r="AE18" s="3"/>
      <c r="AF18" s="3"/>
      <c r="AG18" s="3"/>
      <c r="AH18" s="3"/>
      <c r="AI18" s="3"/>
      <c r="AJ18" s="3"/>
      <c r="AK18" s="3"/>
    </row>
    <row r="19" spans="1:37">
      <c r="A19" s="3"/>
      <c r="B19" s="800"/>
      <c r="C19" s="20"/>
      <c r="D19" s="27" t="s">
        <v>537</v>
      </c>
      <c r="E19" s="322" t="s">
        <v>90</v>
      </c>
      <c r="F19" s="28"/>
      <c r="G19" s="28"/>
      <c r="H19" s="28"/>
      <c r="I19" s="28"/>
      <c r="J19" s="20"/>
      <c r="K19" s="19" t="s">
        <v>104</v>
      </c>
      <c r="L19" s="88"/>
      <c r="M19" s="887">
        <v>0.75</v>
      </c>
      <c r="N19" s="720"/>
      <c r="O19" s="800"/>
      <c r="P19" s="20"/>
      <c r="Q19" s="20"/>
      <c r="R19" s="20"/>
      <c r="S19" s="20"/>
      <c r="T19" s="3"/>
      <c r="U19" s="3"/>
      <c r="V19" s="3"/>
      <c r="W19" s="3"/>
      <c r="X19" s="3"/>
      <c r="Y19" s="3"/>
      <c r="Z19" s="3"/>
      <c r="AA19" s="3"/>
      <c r="AB19" s="3"/>
      <c r="AC19" s="3"/>
      <c r="AD19" s="3"/>
      <c r="AE19" s="3"/>
      <c r="AF19" s="3"/>
      <c r="AG19" s="3"/>
      <c r="AH19" s="3"/>
      <c r="AI19" s="3"/>
      <c r="AJ19" s="3"/>
      <c r="AK19" s="3"/>
    </row>
    <row r="20" spans="1:37">
      <c r="A20" s="3"/>
      <c r="B20" s="800"/>
      <c r="C20" s="20"/>
      <c r="D20" s="27" t="s">
        <v>538</v>
      </c>
      <c r="E20" s="349">
        <v>1</v>
      </c>
      <c r="F20" s="28"/>
      <c r="G20" s="28"/>
      <c r="H20" s="28"/>
      <c r="I20" s="28"/>
      <c r="J20" s="20"/>
      <c r="K20" s="19" t="s">
        <v>115</v>
      </c>
      <c r="L20" s="88" t="s">
        <v>90</v>
      </c>
      <c r="M20" s="887">
        <v>1</v>
      </c>
      <c r="N20" s="720"/>
      <c r="O20" s="801"/>
      <c r="P20" s="20"/>
      <c r="Q20" s="20"/>
      <c r="R20" s="20"/>
      <c r="S20" s="20"/>
      <c r="T20" s="3"/>
      <c r="U20" s="3"/>
      <c r="V20" s="3"/>
      <c r="W20" s="3"/>
      <c r="X20" s="3"/>
      <c r="Y20" s="3"/>
      <c r="Z20" s="3"/>
      <c r="AA20" s="3"/>
      <c r="AB20" s="3"/>
      <c r="AC20" s="3"/>
      <c r="AD20" s="3"/>
      <c r="AE20" s="3"/>
      <c r="AF20" s="3"/>
      <c r="AG20" s="3"/>
      <c r="AH20" s="3"/>
      <c r="AI20" s="3"/>
      <c r="AJ20" s="3"/>
      <c r="AK20" s="3"/>
    </row>
    <row r="21" spans="1:37" ht="15.75" customHeight="1">
      <c r="A21" s="3"/>
      <c r="B21" s="801"/>
      <c r="C21" s="20"/>
      <c r="D21" s="27"/>
      <c r="E21" s="27"/>
      <c r="F21" s="27"/>
      <c r="G21" s="28"/>
      <c r="H21" s="28"/>
      <c r="I21" s="28"/>
      <c r="J21" s="20"/>
      <c r="K21" s="19"/>
      <c r="L21" s="19"/>
      <c r="M21" s="19"/>
      <c r="N21" s="19"/>
      <c r="O21" s="19"/>
      <c r="P21" s="20"/>
      <c r="Q21" s="20"/>
      <c r="R21" s="20"/>
      <c r="S21" s="20"/>
      <c r="T21" s="3"/>
      <c r="U21" s="3"/>
      <c r="V21" s="3"/>
      <c r="W21" s="3"/>
      <c r="X21" s="3"/>
      <c r="Y21" s="3"/>
      <c r="Z21" s="3"/>
      <c r="AA21" s="3"/>
      <c r="AB21" s="3"/>
      <c r="AC21" s="3"/>
      <c r="AD21" s="3"/>
      <c r="AE21" s="3"/>
      <c r="AF21" s="3"/>
      <c r="AG21" s="3"/>
      <c r="AH21" s="3"/>
      <c r="AI21" s="3"/>
      <c r="AJ21" s="3"/>
      <c r="AK21" s="3"/>
    </row>
    <row r="22" spans="1:37" ht="15.75" customHeight="1">
      <c r="A22" s="3"/>
      <c r="B22" s="20"/>
      <c r="C22" s="20"/>
      <c r="D22" s="20"/>
      <c r="E22" s="20"/>
      <c r="F22" s="20"/>
      <c r="G22" s="20"/>
      <c r="H22" s="20"/>
      <c r="I22" s="20"/>
      <c r="J22" s="20"/>
      <c r="K22" s="20"/>
      <c r="L22" s="20"/>
      <c r="M22" s="20"/>
      <c r="N22" s="20"/>
      <c r="O22" s="20"/>
      <c r="P22" s="20"/>
      <c r="Q22" s="20"/>
      <c r="R22" s="20"/>
      <c r="S22" s="20"/>
      <c r="T22" s="3"/>
      <c r="U22" s="3"/>
      <c r="V22" s="3"/>
      <c r="W22" s="3"/>
      <c r="X22" s="3"/>
      <c r="Y22" s="3"/>
      <c r="Z22" s="3"/>
      <c r="AA22" s="3"/>
      <c r="AB22" s="3"/>
      <c r="AC22" s="3"/>
      <c r="AD22" s="3"/>
      <c r="AE22" s="3"/>
      <c r="AF22" s="3"/>
      <c r="AG22" s="3"/>
      <c r="AH22" s="3"/>
      <c r="AI22" s="3"/>
      <c r="AJ22" s="3"/>
      <c r="AK22" s="3"/>
    </row>
    <row r="23" spans="1:37" ht="15.75" customHeight="1">
      <c r="A23" s="3"/>
      <c r="B23" s="799" t="s">
        <v>545</v>
      </c>
      <c r="C23" s="20"/>
      <c r="D23" s="26" t="s">
        <v>549</v>
      </c>
      <c r="E23" s="26"/>
      <c r="F23" s="26"/>
      <c r="G23" s="26"/>
      <c r="H23" s="26"/>
      <c r="I23" s="26"/>
      <c r="J23" s="20"/>
      <c r="K23" s="19"/>
      <c r="L23" s="853" t="s">
        <v>550</v>
      </c>
      <c r="M23" s="719"/>
      <c r="N23" s="719"/>
      <c r="O23" s="720"/>
      <c r="P23" s="20"/>
      <c r="Q23" s="880" t="str">
        <f>HYPERLINK("https://www.usgbc.org/resources/table-1-maximum-concentration-levels-contaminant-and-testing","USGBC LEED v4 Contaminant control - Table 1. Maximum concentration levels, by contaminant and testing method")</f>
        <v>USGBC LEED v4 Contaminant control - Table 1. Maximum concentration levels, by contaminant and testing method</v>
      </c>
      <c r="R23" s="808"/>
      <c r="S23" s="809"/>
      <c r="T23" s="3"/>
      <c r="U23" s="3"/>
      <c r="V23" s="3"/>
      <c r="W23" s="3"/>
      <c r="X23" s="3"/>
      <c r="Y23" s="3"/>
      <c r="Z23" s="3"/>
      <c r="AA23" s="3"/>
      <c r="AB23" s="3"/>
      <c r="AC23" s="3"/>
      <c r="AD23" s="3"/>
      <c r="AE23" s="3"/>
      <c r="AF23" s="3"/>
      <c r="AG23" s="3"/>
      <c r="AH23" s="3"/>
      <c r="AI23" s="3"/>
      <c r="AJ23" s="3"/>
      <c r="AK23" s="3"/>
    </row>
    <row r="24" spans="1:37" ht="15.75" customHeight="1">
      <c r="A24" s="3"/>
      <c r="B24" s="800"/>
      <c r="C24" s="20"/>
      <c r="D24" s="27"/>
      <c r="E24" s="27"/>
      <c r="F24" s="27"/>
      <c r="G24" s="28"/>
      <c r="H24" s="28"/>
      <c r="I24" s="28"/>
      <c r="J24" s="20"/>
      <c r="K24" s="37" t="s">
        <v>559</v>
      </c>
      <c r="L24" s="49"/>
      <c r="M24" s="82" t="s">
        <v>560</v>
      </c>
      <c r="N24" s="82" t="s">
        <v>561</v>
      </c>
      <c r="O24" s="49"/>
      <c r="P24" s="20"/>
      <c r="Q24" s="872"/>
      <c r="R24" s="881"/>
      <c r="S24" s="803"/>
      <c r="T24" s="3"/>
      <c r="U24" s="3"/>
      <c r="V24" s="3"/>
      <c r="W24" s="3"/>
      <c r="X24" s="3"/>
      <c r="Y24" s="3"/>
      <c r="Z24" s="3"/>
      <c r="AA24" s="3"/>
      <c r="AB24" s="3"/>
      <c r="AC24" s="3"/>
      <c r="AD24" s="3"/>
      <c r="AE24" s="3"/>
      <c r="AF24" s="3"/>
      <c r="AG24" s="3"/>
      <c r="AH24" s="3"/>
      <c r="AI24" s="3"/>
      <c r="AJ24" s="3"/>
      <c r="AK24" s="3"/>
    </row>
    <row r="25" spans="1:37" ht="15.75" customHeight="1">
      <c r="A25" s="3"/>
      <c r="B25" s="800"/>
      <c r="C25" s="20"/>
      <c r="D25" s="27" t="s">
        <v>562</v>
      </c>
      <c r="E25" s="334">
        <v>700</v>
      </c>
      <c r="F25" s="28" t="s">
        <v>563</v>
      </c>
      <c r="G25" s="28"/>
      <c r="H25" s="28"/>
      <c r="I25" s="28"/>
      <c r="J25" s="20"/>
      <c r="K25" s="19" t="s">
        <v>564</v>
      </c>
      <c r="L25" s="19" t="s">
        <v>565</v>
      </c>
      <c r="M25" s="88">
        <v>50</v>
      </c>
      <c r="N25" s="88">
        <v>20</v>
      </c>
      <c r="O25" s="19" t="s">
        <v>566</v>
      </c>
      <c r="P25" s="20"/>
      <c r="Q25" s="872"/>
      <c r="R25" s="881"/>
      <c r="S25" s="803"/>
      <c r="T25" s="3"/>
      <c r="U25" s="3"/>
      <c r="V25" s="3"/>
      <c r="W25" s="3"/>
      <c r="X25" s="3"/>
      <c r="Y25" s="3"/>
      <c r="Z25" s="3"/>
      <c r="AA25" s="3"/>
      <c r="AB25" s="3"/>
      <c r="AC25" s="3"/>
      <c r="AD25" s="3"/>
      <c r="AE25" s="3"/>
      <c r="AF25" s="3"/>
      <c r="AG25" s="3"/>
      <c r="AH25" s="3"/>
      <c r="AI25" s="3"/>
      <c r="AJ25" s="3"/>
      <c r="AK25" s="3"/>
    </row>
    <row r="26" spans="1:37" ht="15.75" customHeight="1">
      <c r="A26" s="3"/>
      <c r="B26" s="800"/>
      <c r="C26" s="20"/>
      <c r="D26" s="27" t="s">
        <v>567</v>
      </c>
      <c r="E26" s="322" t="s">
        <v>90</v>
      </c>
      <c r="F26" s="28"/>
      <c r="G26" s="28"/>
      <c r="H26" s="28"/>
      <c r="I26" s="28"/>
      <c r="J26" s="20"/>
      <c r="K26" s="19" t="s">
        <v>564</v>
      </c>
      <c r="L26" s="19" t="s">
        <v>569</v>
      </c>
      <c r="M26" s="88">
        <v>15</v>
      </c>
      <c r="N26" s="88">
        <v>15</v>
      </c>
      <c r="O26" s="19" t="s">
        <v>572</v>
      </c>
      <c r="P26" s="20"/>
      <c r="Q26" s="872"/>
      <c r="R26" s="881"/>
      <c r="S26" s="803"/>
      <c r="T26" s="3"/>
      <c r="U26" s="3"/>
      <c r="V26" s="3"/>
      <c r="W26" s="3"/>
      <c r="X26" s="3"/>
      <c r="Y26" s="3"/>
      <c r="Z26" s="3"/>
      <c r="AA26" s="3"/>
      <c r="AB26" s="3"/>
      <c r="AC26" s="3"/>
      <c r="AD26" s="3"/>
      <c r="AE26" s="3"/>
      <c r="AF26" s="3"/>
      <c r="AG26" s="3"/>
      <c r="AH26" s="3"/>
      <c r="AI26" s="3"/>
      <c r="AJ26" s="3"/>
      <c r="AK26" s="3"/>
    </row>
    <row r="27" spans="1:37" ht="15.75" customHeight="1">
      <c r="A27" s="3"/>
      <c r="B27" s="800"/>
      <c r="C27" s="20"/>
      <c r="D27" s="27" t="s">
        <v>576</v>
      </c>
      <c r="E27" s="334">
        <v>800</v>
      </c>
      <c r="F27" s="28" t="s">
        <v>563</v>
      </c>
      <c r="G27" s="28"/>
      <c r="H27" s="28"/>
      <c r="I27" s="28"/>
      <c r="J27" s="20"/>
      <c r="K27" s="19" t="s">
        <v>577</v>
      </c>
      <c r="L27" s="19" t="s">
        <v>578</v>
      </c>
      <c r="M27" s="88">
        <v>7.4999999999999997E-2</v>
      </c>
      <c r="N27" s="88">
        <v>0.75</v>
      </c>
      <c r="O27" s="19" t="s">
        <v>563</v>
      </c>
      <c r="P27" s="20"/>
      <c r="Q27" s="872"/>
      <c r="R27" s="881"/>
      <c r="S27" s="803"/>
      <c r="T27" s="3"/>
      <c r="U27" s="3"/>
      <c r="V27" s="3"/>
      <c r="W27" s="3"/>
      <c r="X27" s="3"/>
      <c r="Y27" s="3"/>
      <c r="Z27" s="3"/>
      <c r="AA27" s="3"/>
      <c r="AB27" s="3"/>
      <c r="AC27" s="3"/>
      <c r="AD27" s="3"/>
      <c r="AE27" s="3"/>
      <c r="AF27" s="3"/>
      <c r="AG27" s="3"/>
      <c r="AH27" s="3"/>
      <c r="AI27" s="3"/>
      <c r="AJ27" s="3"/>
      <c r="AK27" s="3"/>
    </row>
    <row r="28" spans="1:37" ht="15.75" customHeight="1">
      <c r="A28" s="3"/>
      <c r="B28" s="800"/>
      <c r="C28" s="20"/>
      <c r="D28" s="27" t="s">
        <v>579</v>
      </c>
      <c r="E28" s="322" t="s">
        <v>90</v>
      </c>
      <c r="F28" s="28"/>
      <c r="G28" s="28"/>
      <c r="H28" s="28"/>
      <c r="I28" s="28"/>
      <c r="J28" s="20"/>
      <c r="K28" s="19" t="s">
        <v>580</v>
      </c>
      <c r="L28" s="19" t="s">
        <v>581</v>
      </c>
      <c r="M28" s="88">
        <v>9</v>
      </c>
      <c r="N28" s="88">
        <v>9</v>
      </c>
      <c r="O28" s="19" t="s">
        <v>563</v>
      </c>
      <c r="P28" s="20"/>
      <c r="Q28" s="872"/>
      <c r="R28" s="881"/>
      <c r="S28" s="803"/>
      <c r="T28" s="3"/>
      <c r="U28" s="3"/>
      <c r="V28" s="3"/>
      <c r="W28" s="3"/>
      <c r="X28" s="3"/>
      <c r="Y28" s="3"/>
      <c r="Z28" s="3"/>
      <c r="AA28" s="3"/>
      <c r="AB28" s="3"/>
      <c r="AC28" s="3"/>
      <c r="AD28" s="3"/>
      <c r="AE28" s="3"/>
      <c r="AF28" s="3"/>
      <c r="AG28" s="3"/>
      <c r="AH28" s="3"/>
      <c r="AI28" s="3"/>
      <c r="AJ28" s="3"/>
      <c r="AK28" s="3"/>
    </row>
    <row r="29" spans="1:37" ht="15.75" customHeight="1">
      <c r="A29" s="3"/>
      <c r="B29" s="800"/>
      <c r="C29" s="20"/>
      <c r="D29" s="27" t="s">
        <v>582</v>
      </c>
      <c r="E29" s="334">
        <v>350</v>
      </c>
      <c r="F29" s="28" t="s">
        <v>583</v>
      </c>
      <c r="G29" s="28"/>
      <c r="H29" s="28"/>
      <c r="I29" s="28"/>
      <c r="J29" s="20"/>
      <c r="K29" s="19" t="s">
        <v>584</v>
      </c>
      <c r="L29" s="19" t="s">
        <v>586</v>
      </c>
      <c r="M29" s="88">
        <v>500</v>
      </c>
      <c r="N29" s="88">
        <v>200</v>
      </c>
      <c r="O29" s="19" t="s">
        <v>589</v>
      </c>
      <c r="P29" s="20"/>
      <c r="Q29" s="872"/>
      <c r="R29" s="881"/>
      <c r="S29" s="803"/>
      <c r="T29" s="3"/>
      <c r="U29" s="3"/>
      <c r="V29" s="3"/>
      <c r="W29" s="3"/>
      <c r="X29" s="3"/>
      <c r="Y29" s="3"/>
      <c r="Z29" s="3"/>
      <c r="AA29" s="3"/>
      <c r="AB29" s="3"/>
      <c r="AC29" s="3"/>
      <c r="AD29" s="3"/>
      <c r="AE29" s="3"/>
      <c r="AF29" s="3"/>
      <c r="AG29" s="3"/>
      <c r="AH29" s="3"/>
      <c r="AI29" s="3"/>
      <c r="AJ29" s="3"/>
      <c r="AK29" s="3"/>
    </row>
    <row r="30" spans="1:37" ht="15.75" customHeight="1">
      <c r="A30" s="3"/>
      <c r="B30" s="801"/>
      <c r="C30" s="20"/>
      <c r="D30" s="27"/>
      <c r="E30" s="27"/>
      <c r="F30" s="27"/>
      <c r="G30" s="28"/>
      <c r="H30" s="28"/>
      <c r="I30" s="28"/>
      <c r="J30" s="20"/>
      <c r="K30" s="19" t="s">
        <v>591</v>
      </c>
      <c r="L30" s="19" t="s">
        <v>593</v>
      </c>
      <c r="M30" s="88">
        <v>27</v>
      </c>
      <c r="N30" s="88">
        <v>16.3</v>
      </c>
      <c r="O30" s="19" t="s">
        <v>583</v>
      </c>
      <c r="P30" s="20"/>
      <c r="Q30" s="810"/>
      <c r="R30" s="811"/>
      <c r="S30" s="812"/>
      <c r="T30" s="3"/>
      <c r="U30" s="3"/>
      <c r="V30" s="3"/>
      <c r="W30" s="3"/>
      <c r="X30" s="3"/>
      <c r="Y30" s="3"/>
      <c r="Z30" s="3"/>
      <c r="AA30" s="3"/>
      <c r="AB30" s="3"/>
      <c r="AC30" s="3"/>
      <c r="AD30" s="3"/>
      <c r="AE30" s="3"/>
      <c r="AF30" s="3"/>
      <c r="AG30" s="3"/>
      <c r="AH30" s="3"/>
      <c r="AI30" s="3"/>
      <c r="AJ30" s="3"/>
      <c r="AK30" s="3"/>
    </row>
    <row r="31" spans="1:37" ht="15.75" customHeight="1">
      <c r="A31" s="3"/>
      <c r="B31" s="20"/>
      <c r="C31" s="20"/>
      <c r="D31" s="20"/>
      <c r="E31" s="20"/>
      <c r="F31" s="20"/>
      <c r="G31" s="20"/>
      <c r="H31" s="20"/>
      <c r="I31" s="20"/>
      <c r="J31" s="20"/>
      <c r="K31" s="20"/>
      <c r="L31" s="20"/>
      <c r="M31" s="20"/>
      <c r="N31" s="20"/>
      <c r="O31" s="20"/>
      <c r="P31" s="20"/>
      <c r="Q31" s="20"/>
      <c r="R31" s="20"/>
      <c r="S31" s="20"/>
      <c r="T31" s="3"/>
      <c r="U31" s="3"/>
      <c r="V31" s="3"/>
      <c r="W31" s="3"/>
      <c r="X31" s="3"/>
      <c r="Y31" s="3"/>
      <c r="Z31" s="3"/>
      <c r="AA31" s="3"/>
      <c r="AB31" s="3"/>
      <c r="AC31" s="3"/>
      <c r="AD31" s="3"/>
      <c r="AE31" s="3"/>
      <c r="AF31" s="3"/>
      <c r="AG31" s="3"/>
      <c r="AH31" s="3"/>
      <c r="AI31" s="3"/>
      <c r="AJ31" s="3"/>
      <c r="AK31" s="3"/>
    </row>
    <row r="32" spans="1:37" ht="15.75" customHeight="1">
      <c r="A32" s="3"/>
      <c r="B32" s="806" t="s">
        <v>1126</v>
      </c>
      <c r="C32" s="20"/>
      <c r="D32" s="26" t="s">
        <v>1045</v>
      </c>
      <c r="E32" s="26"/>
      <c r="F32" s="26"/>
      <c r="G32" s="26"/>
      <c r="H32" s="26"/>
      <c r="I32" s="26"/>
      <c r="J32" s="20"/>
      <c r="K32" s="19"/>
      <c r="L32" s="19"/>
      <c r="M32" s="19"/>
      <c r="N32" s="19"/>
      <c r="O32" s="19"/>
      <c r="P32" s="20"/>
      <c r="Q32" s="22" t="str">
        <f>HYPERLINK("https://living-future.org/declare/","Declare.")</f>
        <v>Declare.</v>
      </c>
      <c r="R32" s="19"/>
      <c r="S32" s="19"/>
      <c r="T32" s="3"/>
      <c r="U32" s="3"/>
      <c r="V32" s="3"/>
      <c r="W32" s="3"/>
      <c r="X32" s="3"/>
      <c r="Y32" s="3"/>
      <c r="Z32" s="3"/>
      <c r="AA32" s="3"/>
      <c r="AB32" s="3"/>
      <c r="AC32" s="3"/>
      <c r="AD32" s="3"/>
      <c r="AE32" s="3"/>
      <c r="AF32" s="3"/>
      <c r="AG32" s="3"/>
      <c r="AH32" s="3"/>
      <c r="AI32" s="3"/>
      <c r="AJ32" s="3"/>
      <c r="AK32" s="3"/>
    </row>
    <row r="33" spans="1:37" ht="15.75" customHeight="1">
      <c r="A33" s="3"/>
      <c r="B33" s="806"/>
      <c r="C33" s="20"/>
      <c r="D33" s="27"/>
      <c r="E33" s="27"/>
      <c r="F33" s="27"/>
      <c r="G33" s="28"/>
      <c r="H33" s="28"/>
      <c r="I33" s="28"/>
      <c r="J33" s="20"/>
      <c r="K33" s="19"/>
      <c r="L33" s="19"/>
      <c r="M33" s="19"/>
      <c r="N33" s="19"/>
      <c r="O33" s="19"/>
      <c r="P33" s="20"/>
      <c r="Q33" s="22" t="str">
        <f>HYPERLINK("https://www.hpd-collaborative.org/","HPD Collaborative")</f>
        <v>HPD Collaborative</v>
      </c>
      <c r="R33" s="19"/>
      <c r="S33" s="19"/>
      <c r="T33" s="3"/>
      <c r="U33" s="3"/>
      <c r="V33" s="3"/>
      <c r="W33" s="3"/>
      <c r="X33" s="3"/>
      <c r="Y33" s="3"/>
      <c r="Z33" s="3"/>
      <c r="AA33" s="3"/>
      <c r="AB33" s="3"/>
      <c r="AC33" s="3"/>
      <c r="AD33" s="3"/>
      <c r="AE33" s="3"/>
      <c r="AF33" s="3"/>
      <c r="AG33" s="3"/>
      <c r="AH33" s="3"/>
      <c r="AI33" s="3"/>
      <c r="AJ33" s="3"/>
      <c r="AK33" s="3"/>
    </row>
    <row r="34" spans="1:37" ht="15.75" customHeight="1">
      <c r="A34" s="3"/>
      <c r="B34" s="806"/>
      <c r="C34" s="20"/>
      <c r="D34" s="27" t="s">
        <v>602</v>
      </c>
      <c r="E34" s="338">
        <v>0</v>
      </c>
      <c r="F34" s="28" t="s">
        <v>603</v>
      </c>
      <c r="G34" s="28"/>
      <c r="H34" s="28"/>
      <c r="I34" s="28"/>
      <c r="J34" s="20"/>
      <c r="K34" s="19" t="s">
        <v>599</v>
      </c>
      <c r="L34" s="19"/>
      <c r="M34" s="19"/>
      <c r="N34" s="19"/>
      <c r="O34" s="19"/>
      <c r="P34" s="20"/>
      <c r="Q34" s="19"/>
      <c r="R34" s="19"/>
      <c r="S34" s="19"/>
      <c r="T34" s="3"/>
      <c r="U34" s="3"/>
      <c r="V34" s="3"/>
      <c r="W34" s="3"/>
      <c r="X34" s="3"/>
      <c r="Y34" s="3"/>
      <c r="Z34" s="3"/>
      <c r="AA34" s="3"/>
      <c r="AB34" s="3"/>
      <c r="AC34" s="3"/>
      <c r="AD34" s="3"/>
      <c r="AE34" s="3"/>
      <c r="AF34" s="3"/>
      <c r="AG34" s="3"/>
      <c r="AH34" s="3"/>
      <c r="AI34" s="3"/>
      <c r="AJ34" s="3"/>
      <c r="AK34" s="3"/>
    </row>
    <row r="35" spans="1:37" ht="15.75" customHeight="1">
      <c r="A35" s="3"/>
      <c r="B35" s="806"/>
      <c r="C35" s="20"/>
      <c r="D35" s="27" t="s">
        <v>604</v>
      </c>
      <c r="E35" s="873"/>
      <c r="F35" s="844"/>
      <c r="G35" s="27" t="s">
        <v>606</v>
      </c>
      <c r="H35" s="350"/>
      <c r="I35" s="28"/>
      <c r="J35" s="20"/>
      <c r="K35" s="19"/>
      <c r="L35" s="19"/>
      <c r="M35" s="19"/>
      <c r="N35" s="19"/>
      <c r="O35" s="19"/>
      <c r="P35" s="20"/>
      <c r="Q35" s="19"/>
      <c r="R35" s="19"/>
      <c r="S35" s="19"/>
      <c r="T35" s="3"/>
      <c r="U35" s="3"/>
      <c r="V35" s="3"/>
      <c r="W35" s="3"/>
      <c r="X35" s="3"/>
      <c r="Y35" s="3"/>
      <c r="Z35" s="3"/>
      <c r="AA35" s="3"/>
      <c r="AB35" s="3"/>
      <c r="AC35" s="3"/>
      <c r="AD35" s="3"/>
      <c r="AE35" s="3"/>
      <c r="AF35" s="3"/>
      <c r="AG35" s="3"/>
      <c r="AH35" s="3"/>
      <c r="AI35" s="3"/>
      <c r="AJ35" s="3"/>
      <c r="AK35" s="3"/>
    </row>
    <row r="36" spans="1:37" ht="15.75" customHeight="1">
      <c r="A36" s="3"/>
      <c r="B36" s="806"/>
      <c r="C36" s="20"/>
      <c r="D36" s="27" t="s">
        <v>608</v>
      </c>
      <c r="E36" s="873"/>
      <c r="F36" s="844"/>
      <c r="G36" s="27" t="s">
        <v>606</v>
      </c>
      <c r="H36" s="350"/>
      <c r="I36" s="28"/>
      <c r="J36" s="20"/>
      <c r="K36" s="19"/>
      <c r="L36" s="19"/>
      <c r="M36" s="19"/>
      <c r="N36" s="19"/>
      <c r="O36" s="19"/>
      <c r="P36" s="20"/>
      <c r="Q36" s="19"/>
      <c r="R36" s="19"/>
      <c r="S36" s="19"/>
      <c r="T36" s="3"/>
      <c r="U36" s="3"/>
      <c r="V36" s="3"/>
      <c r="W36" s="3"/>
      <c r="X36" s="3"/>
      <c r="Y36" s="3"/>
      <c r="Z36" s="3"/>
      <c r="AA36" s="3"/>
      <c r="AB36" s="3"/>
      <c r="AC36" s="3"/>
      <c r="AD36" s="3"/>
      <c r="AE36" s="3"/>
      <c r="AF36" s="3"/>
      <c r="AG36" s="3"/>
      <c r="AH36" s="3"/>
      <c r="AI36" s="3"/>
      <c r="AJ36" s="3"/>
      <c r="AK36" s="3"/>
    </row>
    <row r="37" spans="1:37" ht="15.75" customHeight="1">
      <c r="A37" s="3"/>
      <c r="B37" s="806"/>
      <c r="C37" s="20"/>
      <c r="D37" s="27" t="s">
        <v>610</v>
      </c>
      <c r="E37" s="873"/>
      <c r="F37" s="844"/>
      <c r="G37" s="27" t="s">
        <v>606</v>
      </c>
      <c r="H37" s="350"/>
      <c r="I37" s="28"/>
      <c r="J37" s="20"/>
      <c r="K37" s="19"/>
      <c r="L37" s="19"/>
      <c r="M37" s="19"/>
      <c r="N37" s="19"/>
      <c r="O37" s="19"/>
      <c r="P37" s="20"/>
      <c r="Q37" s="19"/>
      <c r="R37" s="19"/>
      <c r="S37" s="19"/>
      <c r="T37" s="3"/>
      <c r="U37" s="3"/>
      <c r="V37" s="3"/>
      <c r="W37" s="3"/>
      <c r="X37" s="3"/>
      <c r="Y37" s="3"/>
      <c r="Z37" s="3"/>
      <c r="AA37" s="3"/>
      <c r="AB37" s="3"/>
      <c r="AC37" s="3"/>
      <c r="AD37" s="3"/>
      <c r="AE37" s="3"/>
      <c r="AF37" s="3"/>
      <c r="AG37" s="3"/>
      <c r="AH37" s="3"/>
      <c r="AI37" s="3"/>
      <c r="AJ37" s="3"/>
      <c r="AK37" s="3"/>
    </row>
    <row r="38" spans="1:37" ht="15.75" customHeight="1">
      <c r="A38" s="3"/>
      <c r="B38" s="806"/>
      <c r="C38" s="20"/>
      <c r="D38" s="27" t="s">
        <v>612</v>
      </c>
      <c r="E38" s="888"/>
      <c r="F38" s="889"/>
      <c r="G38" s="27" t="s">
        <v>606</v>
      </c>
      <c r="H38" s="350"/>
      <c r="I38" s="28"/>
      <c r="J38" s="20"/>
      <c r="K38" s="19"/>
      <c r="L38" s="19"/>
      <c r="M38" s="19"/>
      <c r="N38" s="19"/>
      <c r="O38" s="19"/>
      <c r="P38" s="20"/>
      <c r="Q38" s="19"/>
      <c r="R38" s="19"/>
      <c r="S38" s="19"/>
      <c r="T38" s="3"/>
      <c r="U38" s="3"/>
      <c r="V38" s="3"/>
      <c r="W38" s="3"/>
      <c r="X38" s="3"/>
      <c r="Y38" s="3"/>
      <c r="Z38" s="3"/>
      <c r="AA38" s="3"/>
      <c r="AB38" s="3"/>
      <c r="AC38" s="3"/>
      <c r="AD38" s="3"/>
      <c r="AE38" s="3"/>
      <c r="AF38" s="3"/>
      <c r="AG38" s="3"/>
      <c r="AH38" s="3"/>
      <c r="AI38" s="3"/>
      <c r="AJ38" s="3"/>
      <c r="AK38" s="3"/>
    </row>
    <row r="39" spans="1:37" ht="15.75" customHeight="1">
      <c r="A39" s="3"/>
      <c r="B39" s="806"/>
      <c r="C39" s="20"/>
      <c r="D39" s="27" t="s">
        <v>613</v>
      </c>
      <c r="E39" s="874"/>
      <c r="F39" s="875"/>
      <c r="G39" s="560" t="s">
        <v>606</v>
      </c>
      <c r="H39" s="552"/>
      <c r="I39" s="28"/>
      <c r="J39" s="20"/>
      <c r="K39" s="19"/>
      <c r="L39" s="19"/>
      <c r="M39" s="19"/>
      <c r="N39" s="19"/>
      <c r="O39" s="19"/>
      <c r="P39" s="20"/>
      <c r="Q39" s="19"/>
      <c r="R39" s="19"/>
      <c r="S39" s="19"/>
      <c r="T39" s="3"/>
      <c r="U39" s="3"/>
      <c r="V39" s="3"/>
      <c r="W39" s="3"/>
      <c r="X39" s="3"/>
      <c r="Y39" s="3"/>
      <c r="Z39" s="3"/>
      <c r="AA39" s="3"/>
      <c r="AB39" s="3"/>
      <c r="AC39" s="3"/>
      <c r="AD39" s="3"/>
      <c r="AE39" s="3"/>
      <c r="AF39" s="3"/>
      <c r="AG39" s="3"/>
      <c r="AH39" s="3"/>
      <c r="AI39" s="3"/>
      <c r="AJ39" s="3"/>
      <c r="AK39" s="3"/>
    </row>
    <row r="40" spans="1:37" s="610" customFormat="1" ht="15.75" customHeight="1" thickBot="1">
      <c r="A40" s="307"/>
      <c r="B40" s="890"/>
      <c r="C40" s="308"/>
      <c r="D40" s="27" t="s">
        <v>614</v>
      </c>
      <c r="E40" s="874"/>
      <c r="F40" s="875"/>
      <c r="G40" s="560" t="s">
        <v>606</v>
      </c>
      <c r="H40" s="552"/>
      <c r="I40" s="309"/>
      <c r="J40" s="308"/>
      <c r="K40" s="311"/>
      <c r="L40" s="311"/>
      <c r="M40" s="311"/>
      <c r="N40" s="311"/>
      <c r="O40" s="311"/>
      <c r="P40" s="308"/>
      <c r="Q40" s="311"/>
      <c r="R40" s="311"/>
      <c r="S40" s="311"/>
      <c r="T40" s="307"/>
      <c r="U40" s="307"/>
      <c r="V40" s="307"/>
      <c r="W40" s="307"/>
      <c r="X40" s="307"/>
      <c r="Y40" s="307"/>
      <c r="Z40" s="307"/>
      <c r="AA40" s="307"/>
      <c r="AB40" s="307"/>
      <c r="AC40" s="307"/>
      <c r="AD40" s="307"/>
      <c r="AE40" s="307"/>
      <c r="AF40" s="307"/>
      <c r="AG40" s="307"/>
      <c r="AH40" s="307"/>
      <c r="AI40" s="307"/>
      <c r="AJ40" s="307"/>
      <c r="AK40" s="307"/>
    </row>
    <row r="41" spans="1:37" ht="15.75" customHeight="1" thickBot="1">
      <c r="A41" s="3"/>
      <c r="B41" s="806"/>
      <c r="C41" s="20"/>
      <c r="D41" s="551"/>
      <c r="E41" s="884"/>
      <c r="F41" s="885"/>
      <c r="G41" s="559"/>
      <c r="H41" s="558"/>
      <c r="I41" s="554"/>
      <c r="J41" s="20"/>
      <c r="K41" s="19"/>
      <c r="L41" s="19"/>
      <c r="M41" s="19"/>
      <c r="N41" s="19"/>
      <c r="O41" s="19"/>
      <c r="P41" s="20"/>
      <c r="Q41" s="19"/>
      <c r="R41" s="19"/>
      <c r="S41" s="19"/>
      <c r="T41" s="3"/>
      <c r="U41" s="3"/>
      <c r="V41" s="3"/>
      <c r="W41" s="3"/>
      <c r="X41" s="3"/>
      <c r="Y41" s="3"/>
      <c r="Z41" s="3"/>
      <c r="AA41" s="3"/>
      <c r="AB41" s="3"/>
      <c r="AC41" s="3"/>
      <c r="AD41" s="3"/>
      <c r="AE41" s="3"/>
      <c r="AF41" s="3"/>
      <c r="AG41" s="3"/>
      <c r="AH41" s="3"/>
      <c r="AI41" s="3"/>
      <c r="AJ41" s="3"/>
      <c r="AK41" s="3"/>
    </row>
    <row r="42" spans="1:37" ht="15.75" customHeight="1" thickBot="1">
      <c r="A42" s="3"/>
      <c r="B42" s="806"/>
      <c r="C42" s="20"/>
      <c r="D42" s="562" t="s">
        <v>1043</v>
      </c>
      <c r="E42" s="563">
        <v>0</v>
      </c>
      <c r="F42" s="561" t="s">
        <v>1044</v>
      </c>
      <c r="G42" s="876"/>
      <c r="H42" s="877"/>
      <c r="I42" s="554"/>
      <c r="K42" s="19"/>
      <c r="L42" s="19"/>
      <c r="M42" s="19" t="s">
        <v>1046</v>
      </c>
      <c r="N42" s="19"/>
      <c r="O42" s="19"/>
      <c r="Q42" s="19"/>
      <c r="R42" s="19"/>
      <c r="S42" s="19"/>
      <c r="T42" s="3"/>
      <c r="U42" s="3"/>
      <c r="V42" s="3"/>
      <c r="W42" s="3"/>
      <c r="X42" s="3"/>
      <c r="Y42" s="3"/>
      <c r="Z42" s="3"/>
      <c r="AA42" s="3"/>
      <c r="AB42" s="3"/>
      <c r="AC42" s="3"/>
      <c r="AD42" s="3"/>
      <c r="AE42" s="3"/>
      <c r="AF42" s="3"/>
      <c r="AG42" s="3"/>
      <c r="AH42" s="3"/>
      <c r="AI42" s="3"/>
      <c r="AJ42" s="3"/>
      <c r="AK42" s="3"/>
    </row>
    <row r="43" spans="1:37" ht="15.75" customHeight="1">
      <c r="A43" s="3"/>
      <c r="B43" s="806"/>
      <c r="C43" s="20"/>
      <c r="D43" s="27" t="s">
        <v>1041</v>
      </c>
      <c r="E43" s="882"/>
      <c r="F43" s="883"/>
      <c r="G43" s="557" t="s">
        <v>1042</v>
      </c>
      <c r="H43" s="553"/>
      <c r="I43" s="309"/>
      <c r="J43" s="20"/>
      <c r="K43" s="19"/>
      <c r="L43" s="19"/>
      <c r="M43" s="19"/>
      <c r="N43" s="19"/>
      <c r="O43" s="19"/>
      <c r="P43" s="20"/>
      <c r="Q43" s="19"/>
      <c r="R43" s="19"/>
      <c r="S43" s="19"/>
      <c r="T43" s="3"/>
      <c r="U43" s="3"/>
      <c r="V43" s="3"/>
      <c r="W43" s="3"/>
      <c r="X43" s="3"/>
      <c r="Y43" s="3"/>
      <c r="Z43" s="3"/>
      <c r="AA43" s="3"/>
      <c r="AB43" s="3"/>
      <c r="AC43" s="3"/>
      <c r="AD43" s="3"/>
      <c r="AE43" s="3"/>
      <c r="AF43" s="3"/>
      <c r="AG43" s="3"/>
      <c r="AH43" s="3"/>
      <c r="AI43" s="3"/>
      <c r="AJ43" s="3"/>
      <c r="AK43" s="3"/>
    </row>
    <row r="44" spans="1:37" ht="15.75" customHeight="1">
      <c r="A44" s="3"/>
      <c r="B44" s="806"/>
      <c r="C44" s="20"/>
      <c r="D44" s="27" t="s">
        <v>1041</v>
      </c>
      <c r="E44" s="878"/>
      <c r="F44" s="879"/>
      <c r="G44" s="27" t="s">
        <v>1042</v>
      </c>
      <c r="H44" s="350"/>
      <c r="I44" s="28"/>
      <c r="J44" s="20"/>
      <c r="K44" s="19"/>
      <c r="L44" s="19"/>
      <c r="M44" s="19"/>
      <c r="N44" s="19"/>
      <c r="O44" s="19"/>
      <c r="P44" s="20"/>
      <c r="Q44" s="19"/>
      <c r="R44" s="19"/>
      <c r="S44" s="19"/>
      <c r="T44" s="3"/>
      <c r="U44" s="3"/>
      <c r="V44" s="3"/>
      <c r="W44" s="3"/>
      <c r="X44" s="3"/>
      <c r="Y44" s="3"/>
      <c r="Z44" s="3"/>
      <c r="AA44" s="3"/>
      <c r="AB44" s="3"/>
      <c r="AC44" s="3"/>
      <c r="AD44" s="3"/>
      <c r="AE44" s="3"/>
      <c r="AF44" s="3"/>
      <c r="AG44" s="3"/>
      <c r="AH44" s="3"/>
      <c r="AI44" s="3"/>
      <c r="AJ44" s="3"/>
      <c r="AK44" s="3"/>
    </row>
    <row r="45" spans="1:37" ht="15.75" customHeight="1">
      <c r="A45" s="3"/>
      <c r="B45" s="806"/>
      <c r="C45" s="20"/>
      <c r="D45" s="27" t="s">
        <v>1041</v>
      </c>
      <c r="E45" s="878"/>
      <c r="F45" s="879"/>
      <c r="G45" s="27" t="s">
        <v>1042</v>
      </c>
      <c r="H45" s="350"/>
      <c r="I45" s="28"/>
      <c r="J45" s="20"/>
      <c r="K45" s="19"/>
      <c r="L45" s="19"/>
      <c r="M45" s="19"/>
      <c r="N45" s="19"/>
      <c r="O45" s="19"/>
      <c r="P45" s="20"/>
      <c r="Q45" s="19"/>
      <c r="R45" s="19"/>
      <c r="S45" s="19"/>
      <c r="T45" s="3"/>
      <c r="U45" s="3"/>
      <c r="V45" s="3"/>
      <c r="W45" s="3"/>
      <c r="X45" s="3"/>
      <c r="Y45" s="3"/>
      <c r="Z45" s="3"/>
      <c r="AA45" s="3"/>
      <c r="AB45" s="3"/>
      <c r="AC45" s="3"/>
      <c r="AD45" s="3"/>
      <c r="AE45" s="3"/>
      <c r="AF45" s="3"/>
      <c r="AG45" s="3"/>
      <c r="AH45" s="3"/>
      <c r="AI45" s="3"/>
      <c r="AJ45" s="3"/>
      <c r="AK45" s="3"/>
    </row>
    <row r="46" spans="1:37" ht="15.75" customHeight="1">
      <c r="A46" s="3"/>
      <c r="B46" s="806"/>
      <c r="D46" s="27" t="s">
        <v>1041</v>
      </c>
      <c r="E46" s="878"/>
      <c r="F46" s="879"/>
      <c r="G46" s="27" t="s">
        <v>1042</v>
      </c>
      <c r="H46" s="350"/>
      <c r="I46" s="28"/>
      <c r="J46" s="20"/>
      <c r="K46" s="19"/>
      <c r="L46" s="19"/>
      <c r="M46" s="19"/>
      <c r="N46" s="19"/>
      <c r="O46" s="19"/>
      <c r="P46" s="20"/>
      <c r="Q46" s="19"/>
      <c r="R46" s="19"/>
      <c r="S46" s="19"/>
      <c r="T46" s="3"/>
      <c r="U46" s="3"/>
      <c r="V46" s="3"/>
      <c r="W46" s="3"/>
      <c r="X46" s="3"/>
      <c r="Y46" s="3"/>
      <c r="Z46" s="3"/>
      <c r="AA46" s="3"/>
      <c r="AB46" s="3"/>
      <c r="AC46" s="3"/>
      <c r="AD46" s="3"/>
      <c r="AE46" s="3"/>
      <c r="AF46" s="3"/>
      <c r="AG46" s="3"/>
      <c r="AH46" s="3"/>
      <c r="AI46" s="3"/>
      <c r="AJ46" s="3"/>
      <c r="AK46" s="3"/>
    </row>
    <row r="47" spans="1:37" ht="15.75" customHeight="1">
      <c r="A47" s="3"/>
      <c r="B47" s="806"/>
      <c r="C47" s="3"/>
      <c r="D47" s="27" t="s">
        <v>1041</v>
      </c>
      <c r="E47" s="873"/>
      <c r="F47" s="844"/>
      <c r="G47" s="27" t="s">
        <v>1042</v>
      </c>
      <c r="H47" s="350"/>
      <c r="I47" s="28"/>
      <c r="J47" s="3"/>
      <c r="K47" s="556"/>
      <c r="L47" s="556"/>
      <c r="M47" s="556"/>
      <c r="N47" s="556"/>
      <c r="O47" s="556"/>
      <c r="P47" s="3"/>
      <c r="Q47" s="556"/>
      <c r="R47" s="556"/>
      <c r="S47" s="556"/>
      <c r="T47" s="3"/>
      <c r="U47" s="3"/>
      <c r="V47" s="3"/>
      <c r="W47" s="3"/>
      <c r="X47" s="3"/>
      <c r="Y47" s="3"/>
      <c r="Z47" s="3"/>
      <c r="AA47" s="3"/>
      <c r="AB47" s="3"/>
      <c r="AC47" s="3"/>
      <c r="AD47" s="3"/>
      <c r="AE47" s="3"/>
      <c r="AF47" s="3"/>
      <c r="AG47" s="3"/>
      <c r="AH47" s="3"/>
      <c r="AI47" s="3"/>
      <c r="AJ47" s="3"/>
      <c r="AK47" s="3"/>
    </row>
    <row r="48" spans="1:37" ht="15.75" customHeight="1">
      <c r="A48" s="3"/>
      <c r="B48" s="806"/>
      <c r="C48" s="3"/>
      <c r="D48" s="27" t="s">
        <v>1041</v>
      </c>
      <c r="E48" s="873"/>
      <c r="F48" s="844"/>
      <c r="G48" s="27" t="s">
        <v>1042</v>
      </c>
      <c r="H48" s="350"/>
      <c r="I48" s="27"/>
      <c r="J48" s="3"/>
      <c r="K48" s="556"/>
      <c r="L48" s="556"/>
      <c r="M48" s="556"/>
      <c r="N48" s="556"/>
      <c r="O48" s="556"/>
      <c r="P48" s="3"/>
      <c r="Q48" s="556"/>
      <c r="R48" s="556"/>
      <c r="S48" s="556"/>
      <c r="T48" s="3"/>
      <c r="U48" s="3"/>
      <c r="V48" s="3"/>
      <c r="W48" s="3"/>
      <c r="X48" s="3"/>
      <c r="Y48" s="3"/>
      <c r="Z48" s="3"/>
      <c r="AA48" s="3"/>
      <c r="AB48" s="3"/>
      <c r="AC48" s="3"/>
      <c r="AD48" s="3"/>
      <c r="AE48" s="3"/>
      <c r="AF48" s="3"/>
      <c r="AG48" s="3"/>
      <c r="AH48" s="3"/>
      <c r="AI48" s="3"/>
      <c r="AJ48" s="3"/>
      <c r="AK48" s="3"/>
    </row>
    <row r="49" spans="1:37" ht="15.75" customHeight="1">
      <c r="A49" s="3"/>
      <c r="B49" s="806"/>
      <c r="C49" s="3"/>
      <c r="D49" s="555"/>
      <c r="E49" s="555"/>
      <c r="F49" s="555"/>
      <c r="G49" s="555"/>
      <c r="H49" s="555"/>
      <c r="I49" s="555"/>
      <c r="J49" s="3"/>
      <c r="K49" s="556"/>
      <c r="L49" s="556"/>
      <c r="M49" s="556"/>
      <c r="N49" s="556"/>
      <c r="O49" s="556"/>
      <c r="P49" s="3"/>
      <c r="Q49" s="556"/>
      <c r="R49" s="556"/>
      <c r="S49" s="556"/>
      <c r="T49" s="3"/>
      <c r="U49" s="3"/>
      <c r="V49" s="3"/>
      <c r="W49" s="3"/>
      <c r="X49" s="3"/>
      <c r="Y49" s="3"/>
      <c r="Z49" s="3"/>
      <c r="AA49" s="3"/>
      <c r="AB49" s="3"/>
      <c r="AC49" s="3"/>
      <c r="AD49" s="3"/>
      <c r="AE49" s="3"/>
      <c r="AF49" s="3"/>
      <c r="AG49" s="3"/>
      <c r="AH49" s="3"/>
      <c r="AI49" s="3"/>
      <c r="AJ49" s="3"/>
      <c r="AK49" s="3"/>
    </row>
    <row r="50" spans="1:37" ht="15.75" customHeight="1">
      <c r="A50" s="3"/>
      <c r="B50" s="629"/>
      <c r="C50" s="3"/>
      <c r="D50" s="555"/>
      <c r="E50" s="555"/>
      <c r="F50" s="555"/>
      <c r="G50" s="555"/>
      <c r="H50" s="555"/>
      <c r="I50" s="555"/>
      <c r="J50" s="3"/>
      <c r="K50" s="556"/>
      <c r="L50" s="556"/>
      <c r="M50" s="556"/>
      <c r="N50" s="556"/>
      <c r="O50" s="556"/>
      <c r="P50" s="3"/>
      <c r="Q50" s="556"/>
      <c r="R50" s="556"/>
      <c r="S50" s="556"/>
      <c r="T50" s="3"/>
      <c r="U50" s="3"/>
      <c r="V50" s="3"/>
      <c r="W50" s="3"/>
      <c r="X50" s="3"/>
      <c r="Y50" s="3"/>
      <c r="Z50" s="3"/>
      <c r="AA50" s="3"/>
      <c r="AB50" s="3"/>
      <c r="AC50" s="3"/>
      <c r="AD50" s="3"/>
      <c r="AE50" s="3"/>
      <c r="AF50" s="3"/>
      <c r="AG50" s="3"/>
      <c r="AH50" s="3"/>
      <c r="AI50" s="3"/>
      <c r="AJ50" s="3"/>
      <c r="AK50" s="3"/>
    </row>
    <row r="51" spans="1:37" ht="15.7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row>
    <row r="52" spans="1:37" ht="15.7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row>
    <row r="53" spans="1:37" ht="15.7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row>
    <row r="54" spans="1:37" ht="15.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row>
    <row r="55" spans="1:37" ht="15.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row>
    <row r="56" spans="1:37" ht="15.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row>
    <row r="57" spans="1:37" ht="15.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row>
    <row r="58" spans="1:37" ht="15.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row>
    <row r="59" spans="1:37" ht="15.7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row>
    <row r="60" spans="1:37" ht="15.7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row>
    <row r="61" spans="1:37" ht="15.7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row>
    <row r="62" spans="1:37" ht="15.7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row>
    <row r="63" spans="1:37" ht="15.7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row>
    <row r="64" spans="1:37" ht="15.7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row>
    <row r="65" spans="1:37"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row>
    <row r="66" spans="1:37"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row>
    <row r="67" spans="1:37"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row>
    <row r="68" spans="1:37"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row>
    <row r="70" spans="1:37"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row>
    <row r="71" spans="1:37"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row>
    <row r="72" spans="1:37"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row>
    <row r="73" spans="1:37"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row>
    <row r="74" spans="1:37"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row>
    <row r="75" spans="1:37"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row>
    <row r="76" spans="1:37"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row>
    <row r="77" spans="1:37"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row>
    <row r="78" spans="1:37"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row>
    <row r="79" spans="1:37"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row>
    <row r="80" spans="1:37"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row>
    <row r="81" spans="1:37"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row>
    <row r="82" spans="1:37"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row>
    <row r="83" spans="1:37"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row>
    <row r="84" spans="1:37"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row>
    <row r="85" spans="1:37"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row>
    <row r="86" spans="1:37"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row>
    <row r="87" spans="1:37"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row>
    <row r="88" spans="1:37"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row>
    <row r="89" spans="1:37"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row>
    <row r="90" spans="1:37"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row>
    <row r="91" spans="1:37"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row>
    <row r="92" spans="1:37"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row>
    <row r="93" spans="1:37"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row>
    <row r="94" spans="1:37"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row>
    <row r="95" spans="1:37"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row>
    <row r="96" spans="1:37"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row>
    <row r="97" spans="1:37"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row>
    <row r="98" spans="1:37"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row>
    <row r="99" spans="1:37"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row>
    <row r="100" spans="1:37"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row>
    <row r="101" spans="1:37"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row>
    <row r="102" spans="1:37"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row>
    <row r="103" spans="1:37"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row>
    <row r="104" spans="1:37"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row>
    <row r="105" spans="1:37"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row>
    <row r="106" spans="1:37"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row>
    <row r="107" spans="1:37"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row>
    <row r="108" spans="1:37"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row>
    <row r="109" spans="1:37"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row>
    <row r="110" spans="1:37"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row>
    <row r="111" spans="1:37"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row>
    <row r="112" spans="1:37"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row>
    <row r="113" spans="1:37"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row>
    <row r="114" spans="1:37"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row>
    <row r="115" spans="1:37"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row>
    <row r="116" spans="1:37"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row>
    <row r="117" spans="1:37"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row>
    <row r="118" spans="1:37"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row>
    <row r="119" spans="1:37"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row>
    <row r="120" spans="1:37"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row>
    <row r="121" spans="1:37"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row>
    <row r="122" spans="1:37"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row>
    <row r="123" spans="1:37"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row>
    <row r="124" spans="1:37"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row>
    <row r="125" spans="1:37"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row>
    <row r="126" spans="1:37"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row>
    <row r="127" spans="1:37"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row>
    <row r="128" spans="1:37"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row>
    <row r="129" spans="1:37"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row>
    <row r="130" spans="1:37"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row>
    <row r="131" spans="1:37"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row>
    <row r="132" spans="1:37"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row>
    <row r="133" spans="1:37"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row>
    <row r="134" spans="1:37"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row>
    <row r="135" spans="1:37"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row>
    <row r="136" spans="1:37"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row>
    <row r="137" spans="1:37"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row>
    <row r="138" spans="1:37"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row>
    <row r="139" spans="1:37"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row>
    <row r="140" spans="1:37"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row>
    <row r="141" spans="1:37"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row>
    <row r="142" spans="1:37"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row>
    <row r="143" spans="1:37"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row>
    <row r="144" spans="1:37"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row>
    <row r="145" spans="1:37"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row>
    <row r="146" spans="1:37"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row>
    <row r="147" spans="1:37"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row>
    <row r="148" spans="1:37"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row>
    <row r="149" spans="1:37"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row>
    <row r="150" spans="1:37"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row>
    <row r="151" spans="1:37"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row>
    <row r="152" spans="1:37"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row>
    <row r="153" spans="1:37"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row>
    <row r="154" spans="1:37"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row>
    <row r="155" spans="1:37"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row>
    <row r="156" spans="1:37"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row>
    <row r="157" spans="1:37"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row>
    <row r="158" spans="1:37"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row>
    <row r="159" spans="1:37"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row>
    <row r="160" spans="1:37"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row>
    <row r="161" spans="1:37"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row>
    <row r="162" spans="1:37"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row>
    <row r="163" spans="1:37"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row>
    <row r="164" spans="1:37"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row>
    <row r="165" spans="1:37"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row>
    <row r="166" spans="1:37"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row>
    <row r="167" spans="1:37"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row>
    <row r="168" spans="1:37"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row>
    <row r="169" spans="1:37"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row>
    <row r="170" spans="1:37"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row>
    <row r="171" spans="1:37"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row>
    <row r="172" spans="1:37"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row>
    <row r="173" spans="1:37"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row>
    <row r="174" spans="1:37"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row>
    <row r="175" spans="1:37"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row>
    <row r="176" spans="1:37"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row>
    <row r="177" spans="1:37"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row>
    <row r="178" spans="1:37"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row>
    <row r="179" spans="1:37"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row>
    <row r="180" spans="1:37"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row>
    <row r="181" spans="1:37"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row>
    <row r="182" spans="1:37"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row>
    <row r="183" spans="1:37"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row>
    <row r="184" spans="1:37"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row>
    <row r="185" spans="1:37"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row>
    <row r="186" spans="1:37"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row>
    <row r="187" spans="1:37"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row>
    <row r="188" spans="1:37"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row>
    <row r="189" spans="1:37"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row>
    <row r="190" spans="1:37"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row>
    <row r="191" spans="1:37"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row>
    <row r="192" spans="1:37"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row>
    <row r="193" spans="1:37"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row>
    <row r="194" spans="1:37"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row>
    <row r="195" spans="1:37"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row>
    <row r="196" spans="1:37"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row>
    <row r="197" spans="1:37"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row>
    <row r="198" spans="1:37"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row>
    <row r="199" spans="1:37"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row>
    <row r="200" spans="1:37"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row>
    <row r="201" spans="1:37"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row>
    <row r="202" spans="1:37"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row>
    <row r="203" spans="1:37"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row>
    <row r="204" spans="1:37"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row>
    <row r="205" spans="1:37"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row>
    <row r="206" spans="1:37"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row>
    <row r="207" spans="1:37"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row>
    <row r="208" spans="1:37"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row>
    <row r="209" spans="1:37"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row>
    <row r="210" spans="1:37"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row>
    <row r="211" spans="1:37"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row>
    <row r="212" spans="1:37"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row>
    <row r="213" spans="1:37"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row>
    <row r="214" spans="1:37"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row>
    <row r="215" spans="1:37"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row>
    <row r="216" spans="1:37"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row>
    <row r="217" spans="1:37"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row>
    <row r="218" spans="1:37"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row>
    <row r="219" spans="1:37"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row>
    <row r="220" spans="1:37"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row>
    <row r="221" spans="1:37"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row>
    <row r="222" spans="1:37"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row>
    <row r="223" spans="1:37"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row>
    <row r="224" spans="1:37"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row>
    <row r="225" spans="1:37"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row>
    <row r="226" spans="1:37"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row>
    <row r="227" spans="1:37"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row>
    <row r="228" spans="1:37"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row>
    <row r="229" spans="1:37"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row>
    <row r="230" spans="1:37"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row>
    <row r="231" spans="1:37"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row>
    <row r="232" spans="1:37"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row>
    <row r="233" spans="1:37"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row>
    <row r="234" spans="1:37"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row>
    <row r="235" spans="1:37"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row>
    <row r="236" spans="1:37"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row>
    <row r="237" spans="1:37"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row>
    <row r="238" spans="1:37"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row>
    <row r="239" spans="1:37"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row>
    <row r="240" spans="1:37"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row>
    <row r="241" spans="1:37" ht="15.75" customHeight="1">
      <c r="A241" s="3"/>
      <c r="B241" s="3"/>
      <c r="C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row>
    <row r="242" spans="1:37" ht="15.75" customHeight="1">
      <c r="A242" s="3"/>
      <c r="B242" s="3"/>
      <c r="C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row>
    <row r="243" spans="1:37" ht="15.75" customHeight="1">
      <c r="A243" s="3"/>
      <c r="B243" s="3"/>
      <c r="C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row>
    <row r="244" spans="1:37" ht="15.75" customHeight="1">
      <c r="A244" s="3"/>
      <c r="B244" s="3"/>
      <c r="C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row>
    <row r="245" spans="1:37" ht="15.75" customHeight="1"/>
    <row r="246" spans="1:37" ht="15.75" customHeight="1"/>
    <row r="247" spans="1:37" ht="15.75" customHeight="1"/>
    <row r="248" spans="1:37" ht="15.75" customHeight="1"/>
    <row r="249" spans="1:37" ht="15.75" customHeight="1"/>
    <row r="250" spans="1:37" ht="15.75" customHeight="1"/>
    <row r="251" spans="1:37" ht="15.75" customHeight="1"/>
    <row r="252" spans="1:37" ht="15.75" customHeight="1"/>
    <row r="253" spans="1:37" ht="15.75" customHeight="1"/>
    <row r="254" spans="1:37" ht="15.75" customHeight="1"/>
    <row r="255" spans="1:37" ht="15.75" customHeight="1"/>
    <row r="256" spans="1:37"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sheetProtection algorithmName="SHA-512" hashValue="4jLkRhYUUTTaWauk1j3sfZcphlRG7p2x8NRU/ie20vLWDzGVZ1Fn1igqOS6hQeuHpGYJ5ej5JEeWr/Au9z6DBg==" saltValue="bnt7U8rBVVJqxiAECsmUpA==" spinCount="100000" sheet="1" objects="1" scenarios="1"/>
  <mergeCells count="31">
    <mergeCell ref="D3:G3"/>
    <mergeCell ref="E35:F35"/>
    <mergeCell ref="M5:N5"/>
    <mergeCell ref="M8:N8"/>
    <mergeCell ref="M16:N16"/>
    <mergeCell ref="M6:N6"/>
    <mergeCell ref="M7:N7"/>
    <mergeCell ref="B4:B13"/>
    <mergeCell ref="B15:B21"/>
    <mergeCell ref="E36:F36"/>
    <mergeCell ref="B23:B30"/>
    <mergeCell ref="E38:F38"/>
    <mergeCell ref="E37:F37"/>
    <mergeCell ref="B32:B49"/>
    <mergeCell ref="E45:F45"/>
    <mergeCell ref="E47:F47"/>
    <mergeCell ref="O17:O20"/>
    <mergeCell ref="M19:N19"/>
    <mergeCell ref="M17:N17"/>
    <mergeCell ref="M18:N18"/>
    <mergeCell ref="M20:N20"/>
    <mergeCell ref="E48:F48"/>
    <mergeCell ref="E40:F40"/>
    <mergeCell ref="G42:H42"/>
    <mergeCell ref="E46:F46"/>
    <mergeCell ref="Q23:S30"/>
    <mergeCell ref="L23:O23"/>
    <mergeCell ref="E39:F39"/>
    <mergeCell ref="E44:F44"/>
    <mergeCell ref="E43:F43"/>
    <mergeCell ref="E41:F41"/>
  </mergeCells>
  <dataValidations count="1">
    <dataValidation type="list" allowBlank="1" showErrorMessage="1" sqref="E11:E12 E19 E26 E28" xr:uid="{00000000-0002-0000-0700-000000000000}">
      <formula1>"Yes,No"</formula1>
    </dataValidation>
  </dataValidations>
  <pageMargins left="0.7" right="0.7" top="0.75" bottom="0.75" header="0" footer="0"/>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AO1001"/>
  <sheetViews>
    <sheetView workbookViewId="0">
      <pane ySplit="3" topLeftCell="A34" activePane="bottomLeft" state="frozen"/>
      <selection pane="bottomLeft" activeCell="D30" sqref="D30"/>
    </sheetView>
  </sheetViews>
  <sheetFormatPr defaultColWidth="14.42578125" defaultRowHeight="15" customHeight="1"/>
  <cols>
    <col min="1" max="1" width="4.85546875" customWidth="1"/>
    <col min="2" max="2" width="29" customWidth="1"/>
    <col min="3" max="3" width="2.140625" customWidth="1"/>
    <col min="4" max="4" width="52.7109375" customWidth="1"/>
    <col min="5" max="5" width="15.5703125" customWidth="1"/>
    <col min="6" max="13" width="8.7109375" customWidth="1"/>
    <col min="14" max="14" width="3" customWidth="1"/>
    <col min="15" max="15" width="23.7109375" customWidth="1"/>
    <col min="16" max="20" width="10" customWidth="1"/>
    <col min="21" max="21" width="2.5703125" customWidth="1"/>
    <col min="22" max="23" width="19.5703125" customWidth="1"/>
    <col min="24" max="24" width="2.7109375" customWidth="1"/>
  </cols>
  <sheetData>
    <row r="1" spans="1:41" ht="36" customHeight="1">
      <c r="A1" s="52" t="s">
        <v>619</v>
      </c>
      <c r="B1" s="52"/>
      <c r="C1" s="52"/>
      <c r="D1" s="52"/>
      <c r="E1" s="17"/>
      <c r="F1" s="17"/>
      <c r="G1" s="17"/>
      <c r="H1" s="17"/>
      <c r="I1" s="17"/>
      <c r="J1" s="17"/>
      <c r="K1" s="17"/>
      <c r="L1" s="17"/>
      <c r="M1" s="17"/>
      <c r="N1" s="17"/>
      <c r="O1" s="17"/>
      <c r="P1" s="17"/>
      <c r="Q1" s="17"/>
      <c r="R1" s="17"/>
      <c r="S1" s="17"/>
      <c r="T1" s="17"/>
      <c r="U1" s="17"/>
      <c r="V1" s="17"/>
      <c r="W1" s="17"/>
      <c r="Y1" s="2"/>
      <c r="Z1" s="2"/>
      <c r="AA1" s="2"/>
      <c r="AB1" s="2"/>
      <c r="AC1" s="2"/>
      <c r="AD1" s="2"/>
      <c r="AE1" s="2"/>
      <c r="AF1" s="2"/>
      <c r="AG1" s="2"/>
      <c r="AH1" s="2"/>
      <c r="AI1" s="2"/>
      <c r="AJ1" s="2"/>
      <c r="AK1" s="2"/>
      <c r="AL1" s="2"/>
      <c r="AM1" s="2"/>
      <c r="AN1" s="2"/>
      <c r="AO1" s="2"/>
    </row>
    <row r="2" spans="1:41">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row>
    <row r="3" spans="1:41" ht="15.75" customHeight="1">
      <c r="A3" s="9"/>
      <c r="B3" s="15" t="s">
        <v>5</v>
      </c>
      <c r="C3" s="9"/>
      <c r="D3" s="849" t="s">
        <v>300</v>
      </c>
      <c r="E3" s="716"/>
      <c r="F3" s="717"/>
      <c r="G3" s="9"/>
      <c r="H3" s="9"/>
      <c r="I3" s="9"/>
      <c r="J3" s="9"/>
      <c r="K3" s="15"/>
      <c r="L3" s="15"/>
      <c r="M3" s="15"/>
      <c r="N3" s="15"/>
      <c r="O3" s="15" t="s">
        <v>9</v>
      </c>
      <c r="P3" s="15"/>
      <c r="Q3" s="15"/>
      <c r="R3" s="15"/>
      <c r="S3" s="15"/>
      <c r="T3" s="15"/>
      <c r="U3" s="15"/>
      <c r="V3" s="15" t="s">
        <v>10</v>
      </c>
      <c r="W3" s="9"/>
      <c r="X3" s="89"/>
      <c r="Y3" s="89"/>
      <c r="Z3" s="89"/>
      <c r="AA3" s="89"/>
      <c r="AB3" s="89"/>
      <c r="AC3" s="89"/>
      <c r="AD3" s="89"/>
      <c r="AE3" s="89"/>
      <c r="AF3" s="89"/>
      <c r="AG3" s="89"/>
      <c r="AH3" s="89"/>
      <c r="AI3" s="89"/>
      <c r="AJ3" s="89"/>
      <c r="AK3" s="89"/>
      <c r="AL3" s="89"/>
      <c r="AM3" s="89"/>
      <c r="AN3" s="89"/>
      <c r="AO3" s="89"/>
    </row>
    <row r="4" spans="1:41">
      <c r="A4" s="3"/>
      <c r="B4" s="799" t="s">
        <v>620</v>
      </c>
      <c r="C4" s="20"/>
      <c r="D4" s="26" t="s">
        <v>621</v>
      </c>
      <c r="E4" s="26"/>
      <c r="F4" s="26"/>
      <c r="G4" s="26"/>
      <c r="H4" s="26"/>
      <c r="I4" s="26"/>
      <c r="J4" s="26"/>
      <c r="K4" s="26"/>
      <c r="L4" s="26"/>
      <c r="M4" s="26"/>
      <c r="N4" s="20"/>
      <c r="O4" s="895" t="s">
        <v>24</v>
      </c>
      <c r="P4" s="897" t="s">
        <v>622</v>
      </c>
      <c r="Q4" s="902"/>
      <c r="R4" s="898"/>
      <c r="S4" s="897" t="s">
        <v>623</v>
      </c>
      <c r="T4" s="898"/>
      <c r="U4" s="20"/>
      <c r="V4" s="901" t="str">
        <f>HYPERLINK("https://www.carbondeqo.com/","deQo database of embodied quantity outputs. MIT Building technology program")</f>
        <v>deQo database of embodied quantity outputs. MIT Building technology program</v>
      </c>
      <c r="W4" s="809"/>
      <c r="X4" s="89"/>
      <c r="Y4" s="89"/>
      <c r="Z4" s="89"/>
      <c r="AA4" s="89"/>
      <c r="AB4" s="89"/>
      <c r="AC4" s="89"/>
      <c r="AD4" s="89"/>
      <c r="AE4" s="89"/>
      <c r="AF4" s="89"/>
      <c r="AG4" s="89"/>
      <c r="AH4" s="89"/>
      <c r="AI4" s="89"/>
      <c r="AJ4" s="89"/>
      <c r="AK4" s="89"/>
      <c r="AL4" s="89"/>
      <c r="AM4" s="89"/>
      <c r="AN4" s="89"/>
      <c r="AO4" s="89"/>
    </row>
    <row r="5" spans="1:41">
      <c r="A5" s="3"/>
      <c r="B5" s="800"/>
      <c r="C5" s="20"/>
      <c r="D5" s="27"/>
      <c r="E5" s="28"/>
      <c r="F5" s="28"/>
      <c r="G5" s="28"/>
      <c r="H5" s="28"/>
      <c r="I5" s="28"/>
      <c r="J5" s="28"/>
      <c r="K5" s="28"/>
      <c r="L5" s="28"/>
      <c r="M5" s="28"/>
      <c r="N5" s="20"/>
      <c r="O5" s="896"/>
      <c r="P5" s="190" t="s">
        <v>234</v>
      </c>
      <c r="Q5" s="191" t="s">
        <v>624</v>
      </c>
      <c r="R5" s="192" t="s">
        <v>235</v>
      </c>
      <c r="S5" s="190" t="s">
        <v>234</v>
      </c>
      <c r="T5" s="192" t="s">
        <v>235</v>
      </c>
      <c r="U5" s="20"/>
      <c r="V5" s="872"/>
      <c r="W5" s="803"/>
      <c r="X5" s="89"/>
      <c r="Y5" s="89"/>
      <c r="Z5" s="89"/>
      <c r="AA5" s="89"/>
      <c r="AB5" s="89"/>
      <c r="AC5" s="89"/>
      <c r="AD5" s="89"/>
      <c r="AE5" s="89"/>
      <c r="AF5" s="89"/>
      <c r="AG5" s="89"/>
      <c r="AH5" s="89"/>
      <c r="AI5" s="89"/>
      <c r="AJ5" s="89"/>
      <c r="AK5" s="89"/>
      <c r="AL5" s="89"/>
      <c r="AM5" s="89"/>
      <c r="AN5" s="89"/>
      <c r="AO5" s="89"/>
    </row>
    <row r="6" spans="1:41">
      <c r="A6" s="3"/>
      <c r="B6" s="800"/>
      <c r="C6" s="20"/>
      <c r="D6" s="27" t="s">
        <v>625</v>
      </c>
      <c r="E6" s="28"/>
      <c r="F6" s="28"/>
      <c r="G6" s="28"/>
      <c r="H6" s="28"/>
      <c r="I6" s="28"/>
      <c r="J6" s="28"/>
      <c r="K6" s="28"/>
      <c r="L6" s="28"/>
      <c r="M6" s="28"/>
      <c r="N6" s="20"/>
      <c r="O6" s="71" t="s">
        <v>626</v>
      </c>
      <c r="P6" s="88">
        <v>50</v>
      </c>
      <c r="Q6" s="72">
        <f t="shared" ref="Q6:Q18" si="0">AVERAGE(P6,R6)</f>
        <v>55</v>
      </c>
      <c r="R6" s="88">
        <v>60</v>
      </c>
      <c r="S6" s="193">
        <f t="shared" ref="S6:S18" si="1">P6*0.000453592</f>
        <v>2.2679600000000001E-2</v>
      </c>
      <c r="T6" s="193">
        <f t="shared" ref="T6:T18" si="2">R6*0.000453592</f>
        <v>2.721552E-2</v>
      </c>
      <c r="U6" s="20"/>
      <c r="V6" s="872"/>
      <c r="W6" s="803"/>
      <c r="X6" s="89"/>
      <c r="Y6" s="89"/>
      <c r="Z6" s="89"/>
      <c r="AA6" s="89"/>
      <c r="AB6" s="89"/>
      <c r="AC6" s="89"/>
      <c r="AD6" s="89"/>
      <c r="AE6" s="89"/>
      <c r="AF6" s="89"/>
      <c r="AG6" s="89"/>
      <c r="AH6" s="89"/>
      <c r="AI6" s="89"/>
      <c r="AJ6" s="89"/>
      <c r="AK6" s="89"/>
      <c r="AL6" s="89"/>
      <c r="AM6" s="89"/>
      <c r="AN6" s="89"/>
      <c r="AO6" s="89"/>
    </row>
    <row r="7" spans="1:41">
      <c r="A7" s="3"/>
      <c r="B7" s="800"/>
      <c r="C7" s="20"/>
      <c r="D7" s="24" t="str">
        <f>HYPERLINK("http://buildcarbonneutral.org/","build carbon neutral")</f>
        <v>build carbon neutral</v>
      </c>
      <c r="E7" s="339">
        <v>395</v>
      </c>
      <c r="F7" s="28" t="s">
        <v>627</v>
      </c>
      <c r="G7" s="28"/>
      <c r="H7" s="28"/>
      <c r="I7" s="28"/>
      <c r="J7" s="28"/>
      <c r="K7" s="28"/>
      <c r="L7" s="28"/>
      <c r="M7" s="28"/>
      <c r="N7" s="20"/>
      <c r="O7" s="71" t="s">
        <v>628</v>
      </c>
      <c r="P7" s="88">
        <v>27</v>
      </c>
      <c r="Q7" s="72">
        <f t="shared" si="0"/>
        <v>34</v>
      </c>
      <c r="R7" s="88">
        <v>41</v>
      </c>
      <c r="S7" s="193">
        <f t="shared" si="1"/>
        <v>1.2246984000000001E-2</v>
      </c>
      <c r="T7" s="193">
        <f t="shared" si="2"/>
        <v>1.8597272000000001E-2</v>
      </c>
      <c r="U7" s="20"/>
      <c r="V7" s="810"/>
      <c r="W7" s="812"/>
      <c r="X7" s="89"/>
      <c r="Y7" s="89"/>
      <c r="Z7" s="89"/>
      <c r="AA7" s="89"/>
      <c r="AB7" s="89"/>
      <c r="AC7" s="89"/>
      <c r="AD7" s="89"/>
      <c r="AE7" s="89"/>
      <c r="AF7" s="89"/>
      <c r="AG7" s="89"/>
      <c r="AH7" s="89"/>
      <c r="AI7" s="89"/>
      <c r="AJ7" s="89"/>
      <c r="AK7" s="89"/>
      <c r="AL7" s="89"/>
      <c r="AM7" s="89"/>
      <c r="AN7" s="89"/>
      <c r="AO7" s="89"/>
    </row>
    <row r="8" spans="1:41">
      <c r="A8" s="3"/>
      <c r="B8" s="800"/>
      <c r="C8" s="20"/>
      <c r="D8" s="28"/>
      <c r="E8" s="153">
        <f>E7*2204.62</f>
        <v>870824.89999999991</v>
      </c>
      <c r="F8" s="28" t="s">
        <v>629</v>
      </c>
      <c r="G8" s="28"/>
      <c r="H8" s="28"/>
      <c r="I8" s="28"/>
      <c r="J8" s="28"/>
      <c r="K8" s="28"/>
      <c r="L8" s="28"/>
      <c r="M8" s="28"/>
      <c r="N8" s="20"/>
      <c r="O8" s="71" t="s">
        <v>630</v>
      </c>
      <c r="P8" s="88">
        <v>31</v>
      </c>
      <c r="Q8" s="72">
        <f t="shared" si="0"/>
        <v>56</v>
      </c>
      <c r="R8" s="88">
        <v>81</v>
      </c>
      <c r="S8" s="193">
        <f t="shared" si="1"/>
        <v>1.4061352000000001E-2</v>
      </c>
      <c r="T8" s="193">
        <f t="shared" si="2"/>
        <v>3.6740952E-2</v>
      </c>
      <c r="U8" s="20"/>
      <c r="V8" s="19"/>
      <c r="W8" s="19"/>
      <c r="X8" s="89"/>
      <c r="Y8" s="89"/>
      <c r="Z8" s="89"/>
      <c r="AA8" s="89"/>
      <c r="AB8" s="89"/>
      <c r="AC8" s="89"/>
      <c r="AD8" s="89"/>
      <c r="AE8" s="89"/>
      <c r="AF8" s="89"/>
      <c r="AG8" s="89"/>
      <c r="AH8" s="89"/>
      <c r="AI8" s="89"/>
      <c r="AJ8" s="89"/>
      <c r="AK8" s="89"/>
      <c r="AL8" s="89"/>
      <c r="AM8" s="89"/>
      <c r="AN8" s="89"/>
      <c r="AO8" s="89"/>
    </row>
    <row r="9" spans="1:41">
      <c r="A9" s="3"/>
      <c r="B9" s="800"/>
      <c r="C9" s="20"/>
      <c r="D9" s="28"/>
      <c r="E9" s="153">
        <f>E8/Introduction!F12</f>
        <v>35.543873469387748</v>
      </c>
      <c r="F9" s="28" t="s">
        <v>631</v>
      </c>
      <c r="G9" s="28"/>
      <c r="H9" s="28"/>
      <c r="I9" s="28"/>
      <c r="J9" s="28"/>
      <c r="K9" s="28"/>
      <c r="L9" s="28"/>
      <c r="M9" s="28"/>
      <c r="N9" s="20"/>
      <c r="O9" s="71" t="s">
        <v>632</v>
      </c>
      <c r="P9" s="88">
        <v>42</v>
      </c>
      <c r="Q9" s="72">
        <f t="shared" si="0"/>
        <v>56</v>
      </c>
      <c r="R9" s="88">
        <v>70</v>
      </c>
      <c r="S9" s="193">
        <f t="shared" si="1"/>
        <v>1.9050864000000001E-2</v>
      </c>
      <c r="T9" s="193">
        <f t="shared" si="2"/>
        <v>3.1751439999999999E-2</v>
      </c>
      <c r="U9" s="20"/>
      <c r="V9" s="19"/>
      <c r="W9" s="19"/>
      <c r="X9" s="89"/>
      <c r="Y9" s="89"/>
      <c r="Z9" s="89"/>
      <c r="AA9" s="89"/>
      <c r="AB9" s="89"/>
      <c r="AC9" s="89"/>
      <c r="AD9" s="89"/>
      <c r="AE9" s="89"/>
      <c r="AF9" s="89"/>
      <c r="AG9" s="89"/>
      <c r="AH9" s="89"/>
      <c r="AI9" s="89"/>
      <c r="AJ9" s="89"/>
      <c r="AK9" s="89"/>
      <c r="AL9" s="89"/>
      <c r="AM9" s="89"/>
      <c r="AN9" s="89"/>
      <c r="AO9" s="89"/>
    </row>
    <row r="10" spans="1:41">
      <c r="A10" s="3"/>
      <c r="B10" s="801"/>
      <c r="C10" s="20"/>
      <c r="D10" s="27" t="s">
        <v>633</v>
      </c>
      <c r="E10" s="537">
        <f>IF(Introduction!F26="Single Family House",Introduction!AL99,Introduction!AR100)</f>
        <v>67</v>
      </c>
      <c r="F10" s="28" t="s">
        <v>1029</v>
      </c>
      <c r="G10" s="28"/>
      <c r="H10" s="28"/>
      <c r="I10" s="28"/>
      <c r="J10" s="28"/>
      <c r="K10" s="28"/>
      <c r="L10" s="28"/>
      <c r="M10" s="28"/>
      <c r="N10" s="20"/>
      <c r="O10" s="71" t="s">
        <v>246</v>
      </c>
      <c r="P10" s="88">
        <v>49</v>
      </c>
      <c r="Q10" s="72">
        <f t="shared" si="0"/>
        <v>67</v>
      </c>
      <c r="R10" s="88">
        <v>85</v>
      </c>
      <c r="S10" s="193">
        <f t="shared" si="1"/>
        <v>2.2226007999999998E-2</v>
      </c>
      <c r="T10" s="193">
        <f t="shared" si="2"/>
        <v>3.8555319999999997E-2</v>
      </c>
      <c r="U10" s="20"/>
      <c r="V10" s="19"/>
      <c r="W10" s="19"/>
      <c r="X10" s="89"/>
      <c r="Y10" s="89"/>
      <c r="Z10" s="89"/>
      <c r="AA10" s="89"/>
      <c r="AB10" s="89"/>
      <c r="AC10" s="89"/>
      <c r="AD10" s="89"/>
      <c r="AE10" s="89"/>
      <c r="AF10" s="89"/>
      <c r="AG10" s="89"/>
      <c r="AH10" s="89"/>
      <c r="AI10" s="89"/>
      <c r="AJ10" s="89"/>
      <c r="AK10" s="89"/>
      <c r="AL10" s="89"/>
      <c r="AM10" s="89"/>
      <c r="AN10" s="89"/>
      <c r="AO10" s="89"/>
    </row>
    <row r="11" spans="1:41">
      <c r="A11" s="3"/>
      <c r="B11" s="194"/>
      <c r="C11" s="20"/>
      <c r="D11" s="27" t="s">
        <v>634</v>
      </c>
      <c r="E11" s="41">
        <f>1-(E9/E10)</f>
        <v>0.46949442583003365</v>
      </c>
      <c r="F11" s="28"/>
      <c r="G11" s="28"/>
      <c r="H11" s="28"/>
      <c r="I11" s="28"/>
      <c r="J11" s="28"/>
      <c r="K11" s="28"/>
      <c r="L11" s="28"/>
      <c r="M11" s="28"/>
      <c r="N11" s="20"/>
      <c r="O11" s="71" t="s">
        <v>635</v>
      </c>
      <c r="P11" s="88">
        <v>85</v>
      </c>
      <c r="Q11" s="72">
        <f t="shared" si="0"/>
        <v>95.5</v>
      </c>
      <c r="R11" s="88">
        <v>106</v>
      </c>
      <c r="S11" s="193">
        <f t="shared" si="1"/>
        <v>3.8555319999999997E-2</v>
      </c>
      <c r="T11" s="193">
        <f t="shared" si="2"/>
        <v>4.8080751999999997E-2</v>
      </c>
      <c r="U11" s="20"/>
      <c r="V11" s="19"/>
      <c r="W11" s="19"/>
      <c r="X11" s="89"/>
      <c r="Y11" s="89"/>
      <c r="Z11" s="89"/>
      <c r="AA11" s="89"/>
      <c r="AB11" s="89"/>
      <c r="AC11" s="89"/>
      <c r="AD11" s="89"/>
      <c r="AE11" s="89"/>
      <c r="AF11" s="89"/>
      <c r="AG11" s="89"/>
      <c r="AH11" s="89"/>
      <c r="AI11" s="89"/>
      <c r="AJ11" s="89"/>
      <c r="AK11" s="89"/>
      <c r="AL11" s="89"/>
      <c r="AM11" s="89"/>
      <c r="AN11" s="89"/>
      <c r="AO11" s="89"/>
    </row>
    <row r="12" spans="1:41">
      <c r="A12" s="3"/>
      <c r="B12" s="195"/>
      <c r="C12" s="20"/>
      <c r="D12" s="28"/>
      <c r="E12" s="153"/>
      <c r="F12" s="28"/>
      <c r="G12" s="28"/>
      <c r="H12" s="28"/>
      <c r="I12" s="28"/>
      <c r="J12" s="28"/>
      <c r="K12" s="28"/>
      <c r="L12" s="28"/>
      <c r="M12" s="28"/>
      <c r="N12" s="20"/>
      <c r="O12" s="71" t="s">
        <v>561</v>
      </c>
      <c r="P12" s="88">
        <v>54</v>
      </c>
      <c r="Q12" s="72">
        <f t="shared" si="0"/>
        <v>74.5</v>
      </c>
      <c r="R12" s="88">
        <v>95</v>
      </c>
      <c r="S12" s="193">
        <f t="shared" si="1"/>
        <v>2.4493968000000001E-2</v>
      </c>
      <c r="T12" s="193">
        <f t="shared" si="2"/>
        <v>4.3091240000000003E-2</v>
      </c>
      <c r="U12" s="20"/>
      <c r="V12" s="19"/>
      <c r="W12" s="19"/>
      <c r="X12" s="89"/>
      <c r="Y12" s="89"/>
      <c r="Z12" s="89"/>
      <c r="AA12" s="89"/>
      <c r="AB12" s="89"/>
      <c r="AC12" s="89"/>
      <c r="AD12" s="89"/>
      <c r="AE12" s="89"/>
      <c r="AF12" s="89"/>
      <c r="AG12" s="89"/>
      <c r="AH12" s="89"/>
      <c r="AI12" s="89"/>
      <c r="AJ12" s="89"/>
      <c r="AK12" s="89"/>
      <c r="AL12" s="89"/>
      <c r="AM12" s="89"/>
      <c r="AN12" s="89"/>
      <c r="AO12" s="89"/>
    </row>
    <row r="13" spans="1:41">
      <c r="A13" s="3"/>
      <c r="B13" s="20"/>
      <c r="C13" s="20"/>
      <c r="D13" s="20"/>
      <c r="E13" s="20"/>
      <c r="F13" s="20"/>
      <c r="G13" s="20"/>
      <c r="H13" s="20"/>
      <c r="I13" s="20"/>
      <c r="J13" s="20"/>
      <c r="K13" s="20"/>
      <c r="L13" s="20"/>
      <c r="M13" s="20"/>
      <c r="N13" s="20"/>
      <c r="O13" s="71" t="s">
        <v>636</v>
      </c>
      <c r="P13" s="88">
        <v>62</v>
      </c>
      <c r="Q13" s="72">
        <f t="shared" si="0"/>
        <v>91.5</v>
      </c>
      <c r="R13" s="88">
        <v>121</v>
      </c>
      <c r="S13" s="193">
        <f t="shared" si="1"/>
        <v>2.8122704000000002E-2</v>
      </c>
      <c r="T13" s="193">
        <f t="shared" si="2"/>
        <v>5.4884632000000003E-2</v>
      </c>
      <c r="U13" s="20"/>
      <c r="V13" s="19"/>
      <c r="W13" s="19"/>
      <c r="X13" s="89"/>
      <c r="Y13" s="89"/>
      <c r="Z13" s="89"/>
      <c r="AA13" s="89"/>
      <c r="AB13" s="89"/>
      <c r="AC13" s="89"/>
      <c r="AD13" s="89"/>
      <c r="AE13" s="89"/>
      <c r="AF13" s="89"/>
      <c r="AG13" s="89"/>
      <c r="AH13" s="89"/>
      <c r="AI13" s="89"/>
      <c r="AJ13" s="89"/>
      <c r="AK13" s="89"/>
      <c r="AL13" s="89"/>
      <c r="AM13" s="89"/>
      <c r="AN13" s="89"/>
      <c r="AO13" s="89"/>
    </row>
    <row r="14" spans="1:41">
      <c r="A14" s="3"/>
      <c r="B14" s="799" t="s">
        <v>637</v>
      </c>
      <c r="C14" s="20"/>
      <c r="D14" s="26" t="s">
        <v>638</v>
      </c>
      <c r="E14" s="26"/>
      <c r="F14" s="26"/>
      <c r="G14" s="26"/>
      <c r="H14" s="26"/>
      <c r="I14" s="26"/>
      <c r="J14" s="26"/>
      <c r="K14" s="26"/>
      <c r="L14" s="26"/>
      <c r="M14" s="26"/>
      <c r="N14" s="20"/>
      <c r="O14" s="71" t="s">
        <v>639</v>
      </c>
      <c r="P14" s="88">
        <v>31</v>
      </c>
      <c r="Q14" s="72">
        <f t="shared" si="0"/>
        <v>50</v>
      </c>
      <c r="R14" s="88">
        <v>69</v>
      </c>
      <c r="S14" s="193">
        <f t="shared" si="1"/>
        <v>1.4061352000000001E-2</v>
      </c>
      <c r="T14" s="193">
        <f t="shared" si="2"/>
        <v>3.1297848000000003E-2</v>
      </c>
      <c r="U14" s="20"/>
      <c r="V14" s="19"/>
      <c r="W14" s="19"/>
      <c r="X14" s="89"/>
      <c r="Y14" s="89"/>
      <c r="Z14" s="89"/>
      <c r="AA14" s="89"/>
      <c r="AB14" s="89"/>
      <c r="AC14" s="89"/>
      <c r="AD14" s="89"/>
      <c r="AE14" s="89"/>
      <c r="AF14" s="89"/>
      <c r="AG14" s="89"/>
      <c r="AH14" s="89"/>
      <c r="AI14" s="89"/>
      <c r="AJ14" s="89"/>
      <c r="AK14" s="89"/>
      <c r="AL14" s="89"/>
      <c r="AM14" s="89"/>
      <c r="AN14" s="89"/>
      <c r="AO14" s="89"/>
    </row>
    <row r="15" spans="1:41">
      <c r="A15" s="3"/>
      <c r="B15" s="800"/>
      <c r="C15" s="20"/>
      <c r="D15" s="27"/>
      <c r="E15" s="27"/>
      <c r="F15" s="27"/>
      <c r="G15" s="27"/>
      <c r="H15" s="28"/>
      <c r="I15" s="28"/>
      <c r="J15" s="28"/>
      <c r="K15" s="28"/>
      <c r="L15" s="28"/>
      <c r="M15" s="28"/>
      <c r="N15" s="20"/>
      <c r="O15" s="71" t="s">
        <v>238</v>
      </c>
      <c r="P15" s="88">
        <v>36</v>
      </c>
      <c r="Q15" s="72">
        <f t="shared" si="0"/>
        <v>57</v>
      </c>
      <c r="R15" s="88">
        <v>78</v>
      </c>
      <c r="S15" s="193">
        <f t="shared" si="1"/>
        <v>1.6329311999999999E-2</v>
      </c>
      <c r="T15" s="193">
        <f t="shared" si="2"/>
        <v>3.5380175999999999E-2</v>
      </c>
      <c r="U15" s="20"/>
      <c r="V15" s="19"/>
      <c r="W15" s="19"/>
      <c r="X15" s="89"/>
      <c r="Y15" s="89"/>
      <c r="Z15" s="89"/>
      <c r="AA15" s="89"/>
      <c r="AB15" s="89"/>
      <c r="AC15" s="89"/>
      <c r="AD15" s="89"/>
      <c r="AE15" s="89"/>
      <c r="AF15" s="89"/>
      <c r="AG15" s="89"/>
      <c r="AH15" s="89"/>
      <c r="AI15" s="89"/>
      <c r="AJ15" s="89"/>
      <c r="AK15" s="89"/>
      <c r="AL15" s="89"/>
      <c r="AM15" s="89"/>
      <c r="AN15" s="89"/>
      <c r="AO15" s="89"/>
    </row>
    <row r="16" spans="1:41">
      <c r="A16" s="3"/>
      <c r="B16" s="800"/>
      <c r="C16" s="20"/>
      <c r="D16" s="27" t="s">
        <v>640</v>
      </c>
      <c r="E16" s="334" t="s">
        <v>90</v>
      </c>
      <c r="F16" s="27"/>
      <c r="G16" s="27"/>
      <c r="H16" s="28"/>
      <c r="I16" s="28"/>
      <c r="J16" s="28"/>
      <c r="K16" s="28"/>
      <c r="L16" s="28"/>
      <c r="M16" s="28"/>
      <c r="N16" s="20"/>
      <c r="O16" s="71" t="s">
        <v>641</v>
      </c>
      <c r="P16" s="88">
        <v>136</v>
      </c>
      <c r="Q16" s="72">
        <f t="shared" si="0"/>
        <v>164</v>
      </c>
      <c r="R16" s="88">
        <v>192</v>
      </c>
      <c r="S16" s="193">
        <f t="shared" si="1"/>
        <v>6.1688512000000001E-2</v>
      </c>
      <c r="T16" s="193">
        <f t="shared" si="2"/>
        <v>8.7089663999999997E-2</v>
      </c>
      <c r="U16" s="20"/>
      <c r="V16" s="19"/>
      <c r="W16" s="19"/>
      <c r="X16" s="89"/>
      <c r="Y16" s="89"/>
      <c r="Z16" s="89"/>
      <c r="AA16" s="89"/>
      <c r="AB16" s="89"/>
      <c r="AC16" s="89"/>
      <c r="AD16" s="89"/>
      <c r="AE16" s="89"/>
      <c r="AF16" s="89"/>
      <c r="AG16" s="89"/>
      <c r="AH16" s="89"/>
      <c r="AI16" s="89"/>
      <c r="AJ16" s="89"/>
      <c r="AK16" s="89"/>
      <c r="AL16" s="89"/>
      <c r="AM16" s="89"/>
      <c r="AN16" s="89"/>
      <c r="AO16" s="89"/>
    </row>
    <row r="17" spans="1:41">
      <c r="A17" s="3"/>
      <c r="B17" s="800"/>
      <c r="C17" s="20"/>
      <c r="D17" s="27" t="s">
        <v>642</v>
      </c>
      <c r="E17" s="873" t="s">
        <v>930</v>
      </c>
      <c r="F17" s="843"/>
      <c r="G17" s="843"/>
      <c r="H17" s="843"/>
      <c r="I17" s="843"/>
      <c r="J17" s="844"/>
      <c r="K17" s="28"/>
      <c r="L17" s="28"/>
      <c r="M17" s="28"/>
      <c r="N17" s="20"/>
      <c r="O17" s="71" t="s">
        <v>182</v>
      </c>
      <c r="P17" s="88">
        <v>48</v>
      </c>
      <c r="Q17" s="72">
        <f t="shared" si="0"/>
        <v>78.5</v>
      </c>
      <c r="R17" s="88">
        <v>109</v>
      </c>
      <c r="S17" s="193">
        <f t="shared" si="1"/>
        <v>2.1772415999999999E-2</v>
      </c>
      <c r="T17" s="193">
        <f t="shared" si="2"/>
        <v>4.9441527999999998E-2</v>
      </c>
      <c r="U17" s="20"/>
      <c r="V17" s="19"/>
      <c r="W17" s="19"/>
      <c r="X17" s="89"/>
      <c r="Y17" s="89"/>
      <c r="Z17" s="89"/>
      <c r="AA17" s="89"/>
      <c r="AB17" s="89"/>
      <c r="AC17" s="89"/>
      <c r="AD17" s="89"/>
      <c r="AE17" s="89"/>
      <c r="AF17" s="89"/>
      <c r="AG17" s="89"/>
      <c r="AH17" s="89"/>
      <c r="AI17" s="89"/>
      <c r="AJ17" s="89"/>
      <c r="AK17" s="89"/>
      <c r="AL17" s="89"/>
      <c r="AM17" s="89"/>
      <c r="AN17" s="89"/>
      <c r="AO17" s="89"/>
    </row>
    <row r="18" spans="1:41">
      <c r="A18" s="3"/>
      <c r="B18" s="800"/>
      <c r="C18" s="20"/>
      <c r="D18" s="27" t="s">
        <v>643</v>
      </c>
      <c r="E18" s="351" t="s">
        <v>1111</v>
      </c>
      <c r="F18" s="28"/>
      <c r="G18" s="28"/>
      <c r="H18" s="28"/>
      <c r="I18" s="28"/>
      <c r="J18" s="28"/>
      <c r="K18" s="28"/>
      <c r="L18" s="28"/>
      <c r="M18" s="28"/>
      <c r="N18" s="20"/>
      <c r="O18" s="903" t="s">
        <v>644</v>
      </c>
      <c r="P18" s="88">
        <v>61</v>
      </c>
      <c r="Q18" s="72">
        <f t="shared" si="0"/>
        <v>91</v>
      </c>
      <c r="R18" s="88">
        <v>121</v>
      </c>
      <c r="S18" s="193">
        <f t="shared" si="1"/>
        <v>2.7669111999999999E-2</v>
      </c>
      <c r="T18" s="193">
        <f t="shared" si="2"/>
        <v>5.4884632000000003E-2</v>
      </c>
      <c r="U18" s="20"/>
      <c r="V18" s="19"/>
      <c r="W18" s="19"/>
      <c r="X18" s="89"/>
      <c r="Y18" s="89"/>
      <c r="Z18" s="89"/>
      <c r="AA18" s="89"/>
      <c r="AB18" s="89"/>
      <c r="AC18" s="89"/>
      <c r="AD18" s="89"/>
      <c r="AE18" s="89"/>
      <c r="AF18" s="89"/>
      <c r="AG18" s="89"/>
      <c r="AH18" s="89"/>
      <c r="AI18" s="89"/>
      <c r="AJ18" s="89"/>
      <c r="AK18" s="89"/>
      <c r="AL18" s="89"/>
      <c r="AM18" s="89"/>
      <c r="AN18" s="89"/>
      <c r="AO18" s="89"/>
    </row>
    <row r="19" spans="1:41">
      <c r="A19" s="3"/>
      <c r="B19" s="800"/>
      <c r="C19" s="20"/>
      <c r="D19" s="27" t="s">
        <v>645</v>
      </c>
      <c r="E19" s="873" t="s">
        <v>931</v>
      </c>
      <c r="F19" s="843"/>
      <c r="G19" s="843"/>
      <c r="H19" s="843"/>
      <c r="I19" s="843"/>
      <c r="J19" s="844"/>
      <c r="K19" s="28"/>
      <c r="L19" s="28"/>
      <c r="M19" s="28"/>
      <c r="N19" s="20"/>
      <c r="O19" s="801"/>
      <c r="P19" s="88"/>
      <c r="Q19" s="88"/>
      <c r="R19" s="88"/>
      <c r="S19" s="193"/>
      <c r="T19" s="193"/>
      <c r="U19" s="20"/>
      <c r="V19" s="19"/>
      <c r="W19" s="19"/>
      <c r="X19" s="89"/>
      <c r="Y19" s="89"/>
      <c r="Z19" s="89"/>
      <c r="AA19" s="89"/>
      <c r="AB19" s="89"/>
      <c r="AC19" s="89"/>
      <c r="AD19" s="89"/>
      <c r="AE19" s="89"/>
      <c r="AF19" s="89"/>
      <c r="AG19" s="89"/>
      <c r="AH19" s="89"/>
      <c r="AI19" s="89"/>
      <c r="AJ19" s="89"/>
      <c r="AK19" s="89"/>
      <c r="AL19" s="89"/>
      <c r="AM19" s="89"/>
      <c r="AN19" s="89"/>
      <c r="AO19" s="89"/>
    </row>
    <row r="20" spans="1:41">
      <c r="A20" s="3"/>
      <c r="B20" s="800"/>
      <c r="C20" s="20"/>
      <c r="D20" s="27" t="s">
        <v>645</v>
      </c>
      <c r="E20" s="873"/>
      <c r="F20" s="843"/>
      <c r="G20" s="843"/>
      <c r="H20" s="843"/>
      <c r="I20" s="843"/>
      <c r="J20" s="844"/>
      <c r="K20" s="28"/>
      <c r="L20" s="28"/>
      <c r="M20" s="28"/>
      <c r="N20" s="20"/>
      <c r="O20" s="19"/>
      <c r="P20" s="19"/>
      <c r="Q20" s="19"/>
      <c r="R20" s="19"/>
      <c r="S20" s="19"/>
      <c r="T20" s="19"/>
      <c r="U20" s="20"/>
      <c r="V20" s="19"/>
      <c r="W20" s="19"/>
      <c r="X20" s="89"/>
      <c r="Y20" s="89"/>
      <c r="Z20" s="89"/>
      <c r="AA20" s="89"/>
      <c r="AB20" s="89"/>
      <c r="AC20" s="89"/>
      <c r="AD20" s="89"/>
      <c r="AE20" s="89"/>
      <c r="AF20" s="89"/>
      <c r="AG20" s="89"/>
      <c r="AH20" s="89"/>
      <c r="AI20" s="89"/>
      <c r="AJ20" s="89"/>
      <c r="AK20" s="89"/>
      <c r="AL20" s="89"/>
      <c r="AM20" s="89"/>
      <c r="AN20" s="89"/>
      <c r="AO20" s="89"/>
    </row>
    <row r="21" spans="1:41" ht="15.75" customHeight="1">
      <c r="A21" s="3"/>
      <c r="B21" s="801"/>
      <c r="C21" s="20"/>
      <c r="D21" s="27"/>
      <c r="E21" s="28"/>
      <c r="F21" s="28"/>
      <c r="G21" s="28"/>
      <c r="H21" s="28"/>
      <c r="I21" s="28"/>
      <c r="J21" s="28"/>
      <c r="K21" s="28"/>
      <c r="L21" s="28"/>
      <c r="M21" s="28"/>
      <c r="N21" s="20"/>
      <c r="O21" s="19"/>
      <c r="P21" s="19"/>
      <c r="Q21" s="19"/>
      <c r="R21" s="19"/>
      <c r="S21" s="19"/>
      <c r="T21" s="19"/>
      <c r="U21" s="20"/>
      <c r="V21" s="19"/>
      <c r="W21" s="19"/>
      <c r="X21" s="89"/>
      <c r="Y21" s="89"/>
      <c r="Z21" s="89"/>
      <c r="AA21" s="89"/>
      <c r="AB21" s="89"/>
      <c r="AC21" s="89"/>
      <c r="AD21" s="89"/>
      <c r="AE21" s="89"/>
      <c r="AF21" s="89"/>
      <c r="AG21" s="89"/>
      <c r="AH21" s="89"/>
      <c r="AI21" s="89"/>
      <c r="AJ21" s="89"/>
      <c r="AK21" s="89"/>
      <c r="AL21" s="89"/>
      <c r="AM21" s="89"/>
      <c r="AN21" s="89"/>
      <c r="AO21" s="89"/>
    </row>
    <row r="22" spans="1:41" ht="15.75" customHeight="1">
      <c r="A22" s="3"/>
      <c r="B22" s="20"/>
      <c r="C22" s="20"/>
      <c r="D22" s="20"/>
      <c r="E22" s="20"/>
      <c r="F22" s="20"/>
      <c r="G22" s="20"/>
      <c r="H22" s="20"/>
      <c r="I22" s="20"/>
      <c r="J22" s="20"/>
      <c r="K22" s="20"/>
      <c r="L22" s="20"/>
      <c r="M22" s="20"/>
      <c r="N22" s="20"/>
      <c r="O22" s="20"/>
      <c r="P22" s="20"/>
      <c r="Q22" s="20"/>
      <c r="R22" s="20"/>
      <c r="S22" s="20"/>
      <c r="T22" s="20"/>
      <c r="U22" s="20"/>
      <c r="V22" s="20"/>
      <c r="W22" s="20"/>
      <c r="X22" s="89"/>
      <c r="Y22" s="89"/>
      <c r="Z22" s="89"/>
      <c r="AA22" s="89"/>
      <c r="AB22" s="89"/>
      <c r="AC22" s="89"/>
      <c r="AD22" s="89"/>
      <c r="AE22" s="89"/>
      <c r="AF22" s="89"/>
      <c r="AG22" s="89"/>
      <c r="AH22" s="89"/>
      <c r="AI22" s="89"/>
      <c r="AJ22" s="89"/>
      <c r="AK22" s="89"/>
      <c r="AL22" s="89"/>
      <c r="AM22" s="89"/>
      <c r="AN22" s="89"/>
      <c r="AO22" s="89"/>
    </row>
    <row r="23" spans="1:41" ht="15.75" customHeight="1">
      <c r="A23" s="3"/>
      <c r="B23" s="799" t="s">
        <v>1125</v>
      </c>
      <c r="C23" s="20"/>
      <c r="D23" s="26" t="s">
        <v>646</v>
      </c>
      <c r="E23" s="26"/>
      <c r="F23" s="26"/>
      <c r="G23" s="26"/>
      <c r="H23" s="26"/>
      <c r="I23" s="26"/>
      <c r="J23" s="26"/>
      <c r="K23" s="26"/>
      <c r="L23" s="26"/>
      <c r="M23" s="26"/>
      <c r="N23" s="20"/>
      <c r="O23" s="19" t="s">
        <v>647</v>
      </c>
      <c r="P23" s="19"/>
      <c r="Q23" s="19"/>
      <c r="R23" s="19"/>
      <c r="S23" s="19"/>
      <c r="T23" s="19"/>
      <c r="U23" s="20"/>
      <c r="V23" s="22" t="str">
        <f>HYPERLINK("https://www.environdec.com/","Environmental Product Declaration (EPD)")</f>
        <v>Environmental Product Declaration (EPD)</v>
      </c>
      <c r="W23" s="19"/>
      <c r="X23" s="89"/>
      <c r="Y23" s="89"/>
      <c r="Z23" s="89"/>
      <c r="AA23" s="89"/>
      <c r="AB23" s="89"/>
      <c r="AC23" s="89"/>
      <c r="AD23" s="89"/>
      <c r="AE23" s="89"/>
      <c r="AF23" s="89"/>
      <c r="AG23" s="89"/>
      <c r="AH23" s="89"/>
      <c r="AI23" s="89"/>
      <c r="AJ23" s="89"/>
      <c r="AK23" s="89"/>
      <c r="AL23" s="89"/>
      <c r="AM23" s="89"/>
      <c r="AN23" s="89"/>
      <c r="AO23" s="89"/>
    </row>
    <row r="24" spans="1:41" ht="15.75" customHeight="1">
      <c r="A24" s="3"/>
      <c r="B24" s="800"/>
      <c r="C24" s="20"/>
      <c r="D24" s="27"/>
      <c r="E24" s="27"/>
      <c r="F24" s="27"/>
      <c r="G24" s="28"/>
      <c r="H24" s="28"/>
      <c r="I24" s="28"/>
      <c r="J24" s="28"/>
      <c r="K24" s="28"/>
      <c r="L24" s="28"/>
      <c r="M24" s="28"/>
      <c r="N24" s="20"/>
      <c r="O24" s="19"/>
      <c r="P24" s="19"/>
      <c r="Q24" s="19"/>
      <c r="R24" s="19"/>
      <c r="S24" s="19"/>
      <c r="T24" s="19"/>
      <c r="U24" s="20"/>
      <c r="V24" s="19"/>
      <c r="W24" s="19"/>
      <c r="X24" s="89"/>
      <c r="Y24" s="89"/>
      <c r="Z24" s="89"/>
      <c r="AA24" s="89"/>
      <c r="AB24" s="89"/>
      <c r="AC24" s="89"/>
      <c r="AD24" s="89"/>
      <c r="AE24" s="89"/>
      <c r="AF24" s="89"/>
      <c r="AG24" s="89"/>
      <c r="AH24" s="89"/>
      <c r="AI24" s="89"/>
      <c r="AJ24" s="89"/>
      <c r="AK24" s="89"/>
      <c r="AL24" s="89"/>
      <c r="AM24" s="89"/>
      <c r="AN24" s="89"/>
      <c r="AO24" s="89"/>
    </row>
    <row r="25" spans="1:41" ht="15.75" customHeight="1">
      <c r="A25" s="3"/>
      <c r="B25" s="800"/>
      <c r="C25" s="20"/>
      <c r="D25" s="27" t="s">
        <v>649</v>
      </c>
      <c r="E25" s="336">
        <v>0</v>
      </c>
      <c r="F25" s="28" t="s">
        <v>603</v>
      </c>
      <c r="G25" s="28"/>
      <c r="H25" s="28"/>
      <c r="I25" s="28"/>
      <c r="J25" s="28"/>
      <c r="K25" s="28"/>
      <c r="L25" s="28"/>
      <c r="M25" s="28"/>
      <c r="N25" s="20"/>
      <c r="O25" s="19"/>
      <c r="P25" s="19"/>
      <c r="Q25" s="19"/>
      <c r="R25" s="19"/>
      <c r="S25" s="19"/>
      <c r="T25" s="19"/>
      <c r="U25" s="20"/>
      <c r="V25" s="19"/>
      <c r="W25" s="19"/>
      <c r="X25" s="89"/>
      <c r="Y25" s="89"/>
      <c r="Z25" s="89"/>
      <c r="AA25" s="89"/>
      <c r="AB25" s="89"/>
      <c r="AC25" s="89"/>
      <c r="AD25" s="89"/>
      <c r="AE25" s="89"/>
      <c r="AF25" s="89"/>
      <c r="AG25" s="89"/>
      <c r="AH25" s="89"/>
      <c r="AI25" s="89"/>
      <c r="AJ25" s="89"/>
      <c r="AK25" s="89"/>
      <c r="AL25" s="89"/>
      <c r="AM25" s="89"/>
      <c r="AN25" s="89"/>
      <c r="AO25" s="89"/>
    </row>
    <row r="26" spans="1:41" ht="15.75" customHeight="1">
      <c r="A26" s="3"/>
      <c r="B26" s="800"/>
      <c r="C26" s="20"/>
      <c r="D26" s="27" t="s">
        <v>604</v>
      </c>
      <c r="E26" s="892"/>
      <c r="F26" s="893"/>
      <c r="G26" s="894"/>
      <c r="H26" s="28"/>
      <c r="I26" s="27" t="s">
        <v>606</v>
      </c>
      <c r="J26" s="892"/>
      <c r="K26" s="893"/>
      <c r="L26" s="894"/>
      <c r="M26" s="28"/>
      <c r="N26" s="20"/>
      <c r="O26" s="19"/>
      <c r="P26" s="19"/>
      <c r="Q26" s="19"/>
      <c r="R26" s="19"/>
      <c r="S26" s="19"/>
      <c r="T26" s="19"/>
      <c r="U26" s="20"/>
      <c r="V26" s="19"/>
      <c r="W26" s="19"/>
      <c r="X26" s="89"/>
      <c r="Y26" s="89"/>
      <c r="Z26" s="89"/>
      <c r="AA26" s="89"/>
      <c r="AB26" s="89"/>
      <c r="AC26" s="89"/>
      <c r="AD26" s="89"/>
      <c r="AE26" s="89"/>
      <c r="AF26" s="89"/>
      <c r="AG26" s="89"/>
      <c r="AH26" s="89"/>
      <c r="AI26" s="89"/>
      <c r="AJ26" s="89"/>
      <c r="AK26" s="89"/>
      <c r="AL26" s="89"/>
      <c r="AM26" s="89"/>
      <c r="AN26" s="89"/>
      <c r="AO26" s="89"/>
    </row>
    <row r="27" spans="1:41" ht="15.75" customHeight="1">
      <c r="A27" s="3"/>
      <c r="B27" s="800"/>
      <c r="C27" s="20"/>
      <c r="D27" s="27" t="s">
        <v>608</v>
      </c>
      <c r="E27" s="892"/>
      <c r="F27" s="893"/>
      <c r="G27" s="894"/>
      <c r="H27" s="28"/>
      <c r="I27" s="27" t="s">
        <v>606</v>
      </c>
      <c r="J27" s="892"/>
      <c r="K27" s="893"/>
      <c r="L27" s="894"/>
      <c r="M27" s="28"/>
      <c r="N27" s="20"/>
      <c r="O27" s="19"/>
      <c r="P27" s="19"/>
      <c r="Q27" s="19"/>
      <c r="R27" s="19"/>
      <c r="S27" s="19"/>
      <c r="T27" s="19"/>
      <c r="U27" s="20"/>
      <c r="V27" s="19"/>
      <c r="W27" s="19"/>
      <c r="X27" s="89"/>
      <c r="Y27" s="89"/>
      <c r="Z27" s="89"/>
      <c r="AA27" s="89"/>
      <c r="AB27" s="89"/>
      <c r="AC27" s="89"/>
      <c r="AD27" s="89"/>
      <c r="AE27" s="89"/>
      <c r="AF27" s="89"/>
      <c r="AG27" s="89"/>
      <c r="AH27" s="89"/>
      <c r="AI27" s="89"/>
      <c r="AJ27" s="89"/>
      <c r="AK27" s="89"/>
      <c r="AL27" s="89"/>
      <c r="AM27" s="89"/>
      <c r="AN27" s="89"/>
      <c r="AO27" s="89"/>
    </row>
    <row r="28" spans="1:41" ht="15.75" customHeight="1">
      <c r="A28" s="3"/>
      <c r="B28" s="800"/>
      <c r="C28" s="20"/>
      <c r="D28" s="27" t="s">
        <v>610</v>
      </c>
      <c r="E28" s="892"/>
      <c r="F28" s="893"/>
      <c r="G28" s="894"/>
      <c r="H28" s="28"/>
      <c r="I28" s="27" t="s">
        <v>606</v>
      </c>
      <c r="J28" s="892"/>
      <c r="K28" s="893"/>
      <c r="L28" s="894"/>
      <c r="M28" s="28"/>
      <c r="N28" s="20"/>
      <c r="O28" s="19"/>
      <c r="P28" s="19"/>
      <c r="Q28" s="19"/>
      <c r="R28" s="19"/>
      <c r="S28" s="19"/>
      <c r="T28" s="19"/>
      <c r="U28" s="20"/>
      <c r="V28" s="19"/>
      <c r="W28" s="19"/>
      <c r="X28" s="89"/>
      <c r="Y28" s="89"/>
      <c r="Z28" s="89"/>
      <c r="AA28" s="89"/>
      <c r="AB28" s="89"/>
      <c r="AC28" s="89"/>
      <c r="AD28" s="89"/>
      <c r="AE28" s="89"/>
      <c r="AF28" s="89"/>
      <c r="AG28" s="89"/>
      <c r="AH28" s="89"/>
      <c r="AI28" s="89"/>
      <c r="AJ28" s="89"/>
      <c r="AK28" s="89"/>
      <c r="AL28" s="89"/>
      <c r="AM28" s="89"/>
      <c r="AN28" s="89"/>
      <c r="AO28" s="89"/>
    </row>
    <row r="29" spans="1:41" ht="15.75" customHeight="1">
      <c r="A29" s="3"/>
      <c r="B29" s="800"/>
      <c r="C29" s="20"/>
      <c r="D29" s="27" t="s">
        <v>612</v>
      </c>
      <c r="E29" s="892"/>
      <c r="F29" s="893"/>
      <c r="G29" s="894"/>
      <c r="H29" s="28"/>
      <c r="I29" s="27" t="s">
        <v>606</v>
      </c>
      <c r="J29" s="892"/>
      <c r="K29" s="893"/>
      <c r="L29" s="894"/>
      <c r="M29" s="28"/>
      <c r="N29" s="20"/>
      <c r="O29" s="19"/>
      <c r="P29" s="19"/>
      <c r="Q29" s="19"/>
      <c r="R29" s="19"/>
      <c r="S29" s="19"/>
      <c r="T29" s="19"/>
      <c r="U29" s="20"/>
      <c r="V29" s="19"/>
      <c r="W29" s="19"/>
      <c r="X29" s="89"/>
      <c r="Y29" s="89"/>
      <c r="Z29" s="89"/>
      <c r="AA29" s="89"/>
      <c r="AB29" s="89"/>
      <c r="AC29" s="89"/>
      <c r="AD29" s="89"/>
      <c r="AE29" s="89"/>
      <c r="AF29" s="89"/>
      <c r="AG29" s="89"/>
      <c r="AH29" s="89"/>
      <c r="AI29" s="89"/>
      <c r="AJ29" s="89"/>
      <c r="AK29" s="89"/>
      <c r="AL29" s="89"/>
      <c r="AM29" s="89"/>
      <c r="AN29" s="89"/>
      <c r="AO29" s="89"/>
    </row>
    <row r="30" spans="1:41" ht="15.75" customHeight="1">
      <c r="A30" s="3"/>
      <c r="B30" s="800"/>
      <c r="C30" s="20"/>
      <c r="D30" s="27" t="s">
        <v>613</v>
      </c>
      <c r="E30" s="892"/>
      <c r="F30" s="893"/>
      <c r="G30" s="894"/>
      <c r="H30" s="28"/>
      <c r="I30" s="27" t="s">
        <v>606</v>
      </c>
      <c r="J30" s="892"/>
      <c r="K30" s="893"/>
      <c r="L30" s="894"/>
      <c r="M30" s="28"/>
      <c r="N30" s="20"/>
      <c r="O30" s="19"/>
      <c r="P30" s="19"/>
      <c r="Q30" s="19"/>
      <c r="R30" s="19"/>
      <c r="S30" s="19"/>
      <c r="T30" s="19"/>
      <c r="U30" s="20"/>
      <c r="V30" s="19"/>
      <c r="W30" s="19"/>
      <c r="X30" s="89"/>
      <c r="Y30" s="89"/>
      <c r="Z30" s="89"/>
      <c r="AA30" s="89"/>
      <c r="AB30" s="89"/>
      <c r="AC30" s="89"/>
      <c r="AD30" s="89"/>
      <c r="AE30" s="89"/>
      <c r="AF30" s="89"/>
      <c r="AG30" s="89"/>
      <c r="AH30" s="89"/>
      <c r="AI30" s="89"/>
      <c r="AJ30" s="89"/>
      <c r="AK30" s="89"/>
      <c r="AL30" s="89"/>
      <c r="AM30" s="89"/>
      <c r="AN30" s="89"/>
      <c r="AO30" s="89"/>
    </row>
    <row r="31" spans="1:41" ht="15.75" customHeight="1">
      <c r="A31" s="3"/>
      <c r="B31" s="800"/>
      <c r="C31" s="20"/>
      <c r="D31" s="27" t="s">
        <v>614</v>
      </c>
      <c r="E31" s="892"/>
      <c r="F31" s="893"/>
      <c r="G31" s="894"/>
      <c r="H31" s="28"/>
      <c r="I31" s="27" t="s">
        <v>606</v>
      </c>
      <c r="J31" s="892"/>
      <c r="K31" s="893"/>
      <c r="L31" s="894"/>
      <c r="M31" s="28"/>
      <c r="N31" s="20"/>
      <c r="O31" s="19"/>
      <c r="P31" s="19"/>
      <c r="Q31" s="19"/>
      <c r="R31" s="19"/>
      <c r="S31" s="19"/>
      <c r="T31" s="19"/>
      <c r="U31" s="20"/>
      <c r="V31" s="19"/>
      <c r="W31" s="19"/>
      <c r="X31" s="89"/>
      <c r="Y31" s="89"/>
      <c r="Z31" s="89"/>
      <c r="AA31" s="89"/>
      <c r="AB31" s="89"/>
      <c r="AC31" s="89"/>
      <c r="AD31" s="89"/>
      <c r="AE31" s="89"/>
      <c r="AF31" s="89"/>
      <c r="AG31" s="89"/>
      <c r="AH31" s="89"/>
      <c r="AI31" s="89"/>
      <c r="AJ31" s="89"/>
      <c r="AK31" s="89"/>
      <c r="AL31" s="89"/>
      <c r="AM31" s="89"/>
      <c r="AN31" s="89"/>
      <c r="AO31" s="89"/>
    </row>
    <row r="32" spans="1:41" ht="15.75" customHeight="1">
      <c r="A32" s="3"/>
      <c r="B32" s="800"/>
      <c r="C32" s="20"/>
      <c r="D32" s="27" t="s">
        <v>615</v>
      </c>
      <c r="E32" s="892"/>
      <c r="F32" s="893"/>
      <c r="G32" s="894"/>
      <c r="H32" s="28"/>
      <c r="I32" s="27" t="s">
        <v>606</v>
      </c>
      <c r="J32" s="892"/>
      <c r="K32" s="893"/>
      <c r="L32" s="894"/>
      <c r="M32" s="28"/>
      <c r="N32" s="20"/>
      <c r="O32" s="19"/>
      <c r="P32" s="19"/>
      <c r="Q32" s="19"/>
      <c r="R32" s="19"/>
      <c r="S32" s="19"/>
      <c r="T32" s="19"/>
      <c r="U32" s="20"/>
      <c r="V32" s="19"/>
      <c r="W32" s="19"/>
      <c r="X32" s="89"/>
      <c r="Y32" s="89"/>
      <c r="Z32" s="89"/>
      <c r="AA32" s="89"/>
      <c r="AB32" s="89"/>
      <c r="AC32" s="89"/>
      <c r="AD32" s="89"/>
      <c r="AE32" s="89"/>
      <c r="AF32" s="89"/>
      <c r="AG32" s="89"/>
      <c r="AH32" s="89"/>
      <c r="AI32" s="89"/>
      <c r="AJ32" s="89"/>
      <c r="AK32" s="89"/>
      <c r="AL32" s="89"/>
      <c r="AM32" s="89"/>
      <c r="AN32" s="89"/>
      <c r="AO32" s="89"/>
    </row>
    <row r="33" spans="1:41" ht="15.75" customHeight="1">
      <c r="A33" s="3"/>
      <c r="B33" s="800"/>
      <c r="C33" s="20"/>
      <c r="D33" s="27" t="s">
        <v>616</v>
      </c>
      <c r="E33" s="892"/>
      <c r="F33" s="893"/>
      <c r="G33" s="894"/>
      <c r="H33" s="28"/>
      <c r="I33" s="27" t="s">
        <v>606</v>
      </c>
      <c r="J33" s="892"/>
      <c r="K33" s="893"/>
      <c r="L33" s="894"/>
      <c r="M33" s="28"/>
      <c r="N33" s="20"/>
      <c r="O33" s="19"/>
      <c r="P33" s="19"/>
      <c r="Q33" s="19"/>
      <c r="R33" s="19"/>
      <c r="S33" s="19"/>
      <c r="T33" s="19"/>
      <c r="U33" s="20"/>
      <c r="V33" s="19"/>
      <c r="W33" s="19"/>
      <c r="X33" s="89"/>
      <c r="Y33" s="89"/>
      <c r="Z33" s="89"/>
      <c r="AA33" s="89"/>
      <c r="AB33" s="89"/>
      <c r="AC33" s="89"/>
      <c r="AD33" s="89"/>
      <c r="AE33" s="89"/>
      <c r="AF33" s="89"/>
      <c r="AG33" s="89"/>
      <c r="AH33" s="89"/>
      <c r="AI33" s="89"/>
      <c r="AJ33" s="89"/>
      <c r="AK33" s="89"/>
      <c r="AL33" s="89"/>
      <c r="AM33" s="89"/>
      <c r="AN33" s="89"/>
      <c r="AO33" s="89"/>
    </row>
    <row r="34" spans="1:41" ht="15.75" customHeight="1">
      <c r="A34" s="3"/>
      <c r="B34" s="800"/>
      <c r="C34" s="20"/>
      <c r="D34" s="27" t="s">
        <v>618</v>
      </c>
      <c r="E34" s="892"/>
      <c r="F34" s="893"/>
      <c r="G34" s="894"/>
      <c r="H34" s="28"/>
      <c r="I34" s="27" t="s">
        <v>606</v>
      </c>
      <c r="J34" s="892"/>
      <c r="K34" s="893"/>
      <c r="L34" s="894"/>
      <c r="M34" s="28"/>
      <c r="N34" s="20"/>
      <c r="O34" s="19"/>
      <c r="P34" s="19"/>
      <c r="Q34" s="19"/>
      <c r="R34" s="19"/>
      <c r="S34" s="19"/>
      <c r="T34" s="19"/>
      <c r="U34" s="20"/>
      <c r="V34" s="19"/>
      <c r="W34" s="19"/>
      <c r="X34" s="89"/>
      <c r="Y34" s="89"/>
      <c r="Z34" s="89"/>
      <c r="AA34" s="89"/>
      <c r="AB34" s="89"/>
      <c r="AC34" s="89"/>
      <c r="AD34" s="89"/>
      <c r="AE34" s="89"/>
      <c r="AF34" s="89"/>
      <c r="AG34" s="89"/>
      <c r="AH34" s="89"/>
      <c r="AI34" s="89"/>
      <c r="AJ34" s="89"/>
      <c r="AK34" s="89"/>
      <c r="AL34" s="89"/>
      <c r="AM34" s="89"/>
      <c r="AN34" s="89"/>
      <c r="AO34" s="89"/>
    </row>
    <row r="35" spans="1:41" ht="15.75" customHeight="1">
      <c r="A35" s="3"/>
      <c r="B35" s="801"/>
      <c r="C35" s="20"/>
      <c r="D35" s="28"/>
      <c r="E35" s="28"/>
      <c r="F35" s="28"/>
      <c r="G35" s="28"/>
      <c r="H35" s="28"/>
      <c r="I35" s="28"/>
      <c r="J35" s="28"/>
      <c r="K35" s="28"/>
      <c r="L35" s="28"/>
      <c r="M35" s="28"/>
      <c r="N35" s="20"/>
      <c r="O35" s="19"/>
      <c r="P35" s="19"/>
      <c r="Q35" s="19"/>
      <c r="R35" s="19"/>
      <c r="S35" s="19"/>
      <c r="T35" s="19"/>
      <c r="U35" s="20"/>
      <c r="V35" s="19"/>
      <c r="W35" s="19"/>
      <c r="X35" s="89"/>
      <c r="Y35" s="89"/>
      <c r="Z35" s="89"/>
      <c r="AA35" s="89"/>
      <c r="AB35" s="89"/>
      <c r="AC35" s="89"/>
      <c r="AD35" s="89"/>
      <c r="AE35" s="89"/>
      <c r="AF35" s="89"/>
      <c r="AG35" s="89"/>
      <c r="AH35" s="89"/>
      <c r="AI35" s="89"/>
      <c r="AJ35" s="89"/>
      <c r="AK35" s="89"/>
      <c r="AL35" s="89"/>
      <c r="AM35" s="89"/>
      <c r="AN35" s="89"/>
      <c r="AO35" s="89"/>
    </row>
    <row r="36" spans="1:41" ht="15.75" customHeight="1">
      <c r="A36" s="3"/>
      <c r="B36" s="20"/>
      <c r="C36" s="20"/>
      <c r="D36" s="20"/>
      <c r="E36" s="20"/>
      <c r="F36" s="20"/>
      <c r="G36" s="20"/>
      <c r="H36" s="20"/>
      <c r="I36" s="20"/>
      <c r="J36" s="20"/>
      <c r="K36" s="20"/>
      <c r="L36" s="20"/>
      <c r="M36" s="20"/>
      <c r="N36" s="20"/>
      <c r="O36" s="20"/>
      <c r="P36" s="20"/>
      <c r="Q36" s="20"/>
      <c r="R36" s="20"/>
      <c r="S36" s="20"/>
      <c r="T36" s="20"/>
      <c r="U36" s="20"/>
      <c r="V36" s="20"/>
      <c r="W36" s="20"/>
      <c r="X36" s="89"/>
      <c r="Y36" s="89"/>
      <c r="Z36" s="89"/>
      <c r="AA36" s="89"/>
      <c r="AB36" s="89"/>
      <c r="AC36" s="89"/>
      <c r="AD36" s="89"/>
      <c r="AE36" s="89"/>
      <c r="AF36" s="89"/>
      <c r="AG36" s="89"/>
      <c r="AH36" s="89"/>
      <c r="AI36" s="89"/>
      <c r="AJ36" s="89"/>
      <c r="AK36" s="89"/>
      <c r="AL36" s="89"/>
      <c r="AM36" s="89"/>
      <c r="AN36" s="89"/>
      <c r="AO36" s="89"/>
    </row>
    <row r="37" spans="1:41" ht="15.75" customHeight="1">
      <c r="A37" s="3"/>
      <c r="B37" s="799" t="s">
        <v>657</v>
      </c>
      <c r="C37" s="20"/>
      <c r="D37" s="26" t="s">
        <v>659</v>
      </c>
      <c r="E37" s="26"/>
      <c r="F37" s="26"/>
      <c r="G37" s="26"/>
      <c r="H37" s="26"/>
      <c r="I37" s="26"/>
      <c r="J37" s="26"/>
      <c r="K37" s="26"/>
      <c r="L37" s="26"/>
      <c r="M37" s="26"/>
      <c r="N37" s="20"/>
      <c r="O37" s="49" t="s">
        <v>660</v>
      </c>
      <c r="P37" s="49" t="s">
        <v>661</v>
      </c>
      <c r="Q37" s="49"/>
      <c r="R37" s="49"/>
      <c r="S37" s="49"/>
      <c r="T37" s="49"/>
      <c r="U37" s="20"/>
      <c r="V37" s="22" t="str">
        <f>HYPERLINK("https://living-future.org/lbc/materials-petal/#14-net-positive-waste","Living Building Challange: Net Positive Waste")</f>
        <v>Living Building Challange: Net Positive Waste</v>
      </c>
      <c r="W37" s="19"/>
      <c r="X37" s="89"/>
      <c r="Y37" s="89"/>
      <c r="Z37" s="89"/>
      <c r="AA37" s="89"/>
      <c r="AB37" s="89"/>
      <c r="AC37" s="89"/>
      <c r="AD37" s="89"/>
      <c r="AE37" s="89"/>
      <c r="AF37" s="89"/>
      <c r="AG37" s="89"/>
      <c r="AH37" s="89"/>
      <c r="AI37" s="89"/>
      <c r="AJ37" s="89"/>
      <c r="AK37" s="89"/>
      <c r="AL37" s="89"/>
      <c r="AM37" s="89"/>
      <c r="AN37" s="89"/>
      <c r="AO37" s="89"/>
    </row>
    <row r="38" spans="1:41" ht="15.75" customHeight="1">
      <c r="A38" s="3"/>
      <c r="B38" s="800"/>
      <c r="C38" s="20"/>
      <c r="D38" s="27"/>
      <c r="E38" s="27"/>
      <c r="F38" s="27"/>
      <c r="G38" s="28"/>
      <c r="H38" s="28"/>
      <c r="I38" s="28"/>
      <c r="J38" s="28"/>
      <c r="K38" s="28"/>
      <c r="L38" s="28"/>
      <c r="M38" s="28"/>
      <c r="N38" s="20"/>
      <c r="O38" s="19" t="s">
        <v>664</v>
      </c>
      <c r="P38" s="172">
        <v>0.99</v>
      </c>
      <c r="Q38" s="19" t="s">
        <v>665</v>
      </c>
      <c r="R38" s="19"/>
      <c r="S38" s="19"/>
      <c r="T38" s="19"/>
      <c r="U38" s="20"/>
      <c r="V38" s="19"/>
      <c r="W38" s="19"/>
      <c r="X38" s="89"/>
      <c r="Y38" s="89"/>
      <c r="Z38" s="89"/>
      <c r="AA38" s="89"/>
      <c r="AB38" s="89"/>
      <c r="AC38" s="89"/>
      <c r="AD38" s="89"/>
      <c r="AE38" s="89"/>
      <c r="AF38" s="89"/>
      <c r="AG38" s="89"/>
      <c r="AH38" s="89"/>
      <c r="AI38" s="89"/>
      <c r="AJ38" s="89"/>
      <c r="AK38" s="89"/>
      <c r="AL38" s="89"/>
      <c r="AM38" s="89"/>
      <c r="AN38" s="89"/>
      <c r="AO38" s="89"/>
    </row>
    <row r="39" spans="1:41" ht="15.75" customHeight="1">
      <c r="A39" s="3"/>
      <c r="B39" s="800"/>
      <c r="C39" s="20"/>
      <c r="D39" s="27" t="s">
        <v>666</v>
      </c>
      <c r="E39" s="899">
        <v>0.9</v>
      </c>
      <c r="F39" s="894"/>
      <c r="G39" s="28"/>
      <c r="H39" s="28"/>
      <c r="I39" s="28"/>
      <c r="J39" s="28"/>
      <c r="K39" s="28"/>
      <c r="L39" s="28"/>
      <c r="M39" s="28"/>
      <c r="N39" s="20"/>
      <c r="O39" s="19" t="s">
        <v>670</v>
      </c>
      <c r="P39" s="172">
        <v>0.99</v>
      </c>
      <c r="Q39" s="19" t="s">
        <v>671</v>
      </c>
      <c r="R39" s="19"/>
      <c r="S39" s="19"/>
      <c r="T39" s="19"/>
      <c r="U39" s="20"/>
      <c r="V39" s="19"/>
      <c r="W39" s="19"/>
      <c r="X39" s="89"/>
      <c r="Y39" s="89"/>
      <c r="Z39" s="89"/>
      <c r="AA39" s="89"/>
      <c r="AB39" s="89"/>
      <c r="AC39" s="89"/>
      <c r="AD39" s="89"/>
      <c r="AE39" s="89"/>
      <c r="AF39" s="89"/>
      <c r="AG39" s="89"/>
      <c r="AH39" s="89"/>
      <c r="AI39" s="89"/>
      <c r="AJ39" s="89"/>
      <c r="AK39" s="89"/>
      <c r="AL39" s="89"/>
      <c r="AM39" s="89"/>
      <c r="AN39" s="89"/>
      <c r="AO39" s="89"/>
    </row>
    <row r="40" spans="1:41" ht="15.75" customHeight="1">
      <c r="A40" s="3"/>
      <c r="B40" s="800"/>
      <c r="C40" s="20"/>
      <c r="D40" s="27" t="s">
        <v>673</v>
      </c>
      <c r="E40" s="900" t="s">
        <v>674</v>
      </c>
      <c r="F40" s="844"/>
      <c r="G40" s="27"/>
      <c r="H40" s="27"/>
      <c r="I40" s="27"/>
      <c r="J40" s="27"/>
      <c r="K40" s="27"/>
      <c r="L40" s="27"/>
      <c r="M40" s="27"/>
      <c r="N40" s="20"/>
      <c r="O40" s="19" t="s">
        <v>678</v>
      </c>
      <c r="P40" s="172">
        <v>1</v>
      </c>
      <c r="Q40" s="19" t="s">
        <v>679</v>
      </c>
      <c r="R40" s="19"/>
      <c r="S40" s="19"/>
      <c r="T40" s="19"/>
      <c r="U40" s="20"/>
      <c r="V40" s="19"/>
      <c r="W40" s="19"/>
      <c r="X40" s="89"/>
      <c r="Y40" s="89"/>
      <c r="Z40" s="89"/>
      <c r="AA40" s="89"/>
      <c r="AB40" s="89"/>
      <c r="AC40" s="89"/>
      <c r="AD40" s="89"/>
      <c r="AE40" s="89"/>
      <c r="AF40" s="89"/>
      <c r="AG40" s="89"/>
      <c r="AH40" s="89"/>
      <c r="AI40" s="89"/>
      <c r="AJ40" s="89"/>
      <c r="AK40" s="89"/>
      <c r="AL40" s="89"/>
      <c r="AM40" s="89"/>
      <c r="AN40" s="89"/>
      <c r="AO40" s="89"/>
    </row>
    <row r="41" spans="1:41" ht="15.75" customHeight="1">
      <c r="A41" s="3"/>
      <c r="B41" s="800"/>
      <c r="C41" s="20"/>
      <c r="D41" s="27"/>
      <c r="E41" s="27"/>
      <c r="F41" s="27"/>
      <c r="G41" s="27"/>
      <c r="H41" s="27"/>
      <c r="I41" s="27"/>
      <c r="J41" s="27"/>
      <c r="K41" s="27"/>
      <c r="L41" s="27"/>
      <c r="M41" s="27"/>
      <c r="N41" s="20"/>
      <c r="O41" s="19"/>
      <c r="P41" s="172">
        <v>0.95</v>
      </c>
      <c r="Q41" s="19" t="s">
        <v>680</v>
      </c>
      <c r="R41" s="19"/>
      <c r="S41" s="19"/>
      <c r="T41" s="19"/>
      <c r="U41" s="20"/>
      <c r="V41" s="19"/>
      <c r="W41" s="19"/>
      <c r="X41" s="89"/>
      <c r="Y41" s="89"/>
      <c r="Z41" s="89"/>
      <c r="AA41" s="89"/>
      <c r="AB41" s="89"/>
      <c r="AC41" s="89"/>
      <c r="AD41" s="89"/>
      <c r="AE41" s="89"/>
      <c r="AF41" s="89"/>
      <c r="AG41" s="89"/>
      <c r="AH41" s="89"/>
      <c r="AI41" s="89"/>
      <c r="AJ41" s="89"/>
      <c r="AK41" s="89"/>
      <c r="AL41" s="89"/>
      <c r="AM41" s="89"/>
      <c r="AN41" s="89"/>
      <c r="AO41" s="89"/>
    </row>
    <row r="42" spans="1:41" ht="15.75" customHeight="1">
      <c r="A42" s="3"/>
      <c r="B42" s="800"/>
      <c r="C42" s="20"/>
      <c r="D42" s="27" t="s">
        <v>681</v>
      </c>
      <c r="E42" s="892"/>
      <c r="F42" s="893"/>
      <c r="G42" s="893"/>
      <c r="H42" s="893"/>
      <c r="I42" s="893"/>
      <c r="J42" s="893"/>
      <c r="K42" s="893"/>
      <c r="L42" s="894"/>
      <c r="M42" s="28"/>
      <c r="N42" s="20"/>
      <c r="O42" s="19"/>
      <c r="P42" s="172">
        <v>0.9</v>
      </c>
      <c r="Q42" s="19" t="s">
        <v>684</v>
      </c>
      <c r="R42" s="19"/>
      <c r="S42" s="19"/>
      <c r="T42" s="19"/>
      <c r="U42" s="20"/>
      <c r="V42" s="19"/>
      <c r="W42" s="19"/>
      <c r="X42" s="89"/>
      <c r="Y42" s="89"/>
      <c r="Z42" s="89"/>
      <c r="AA42" s="89"/>
      <c r="AB42" s="89"/>
      <c r="AC42" s="89"/>
      <c r="AD42" s="89"/>
      <c r="AE42" s="89"/>
      <c r="AF42" s="89"/>
      <c r="AG42" s="89"/>
      <c r="AH42" s="89"/>
      <c r="AI42" s="89"/>
      <c r="AJ42" s="89"/>
      <c r="AK42" s="89"/>
      <c r="AL42" s="89"/>
      <c r="AM42" s="89"/>
      <c r="AN42" s="89"/>
      <c r="AO42" s="89"/>
    </row>
    <row r="43" spans="1:41" ht="15.75" customHeight="1">
      <c r="A43" s="3"/>
      <c r="B43" s="800"/>
      <c r="C43" s="20"/>
      <c r="D43" s="27" t="s">
        <v>681</v>
      </c>
      <c r="E43" s="892"/>
      <c r="F43" s="893"/>
      <c r="G43" s="893"/>
      <c r="H43" s="893"/>
      <c r="I43" s="893"/>
      <c r="J43" s="893"/>
      <c r="K43" s="893"/>
      <c r="L43" s="894"/>
      <c r="M43" s="28"/>
      <c r="N43" s="20"/>
      <c r="O43" s="19"/>
      <c r="P43" s="19"/>
      <c r="Q43" s="19"/>
      <c r="R43" s="19"/>
      <c r="S43" s="19"/>
      <c r="T43" s="19"/>
      <c r="U43" s="20"/>
      <c r="V43" s="19"/>
      <c r="W43" s="19"/>
      <c r="X43" s="89"/>
      <c r="Y43" s="89"/>
      <c r="Z43" s="89"/>
      <c r="AA43" s="89"/>
      <c r="AB43" s="89"/>
      <c r="AC43" s="89"/>
      <c r="AD43" s="89"/>
      <c r="AE43" s="89"/>
      <c r="AF43" s="89"/>
      <c r="AG43" s="89"/>
      <c r="AH43" s="89"/>
      <c r="AI43" s="89"/>
      <c r="AJ43" s="89"/>
      <c r="AK43" s="89"/>
      <c r="AL43" s="89"/>
      <c r="AM43" s="89"/>
      <c r="AN43" s="89"/>
      <c r="AO43" s="89"/>
    </row>
    <row r="44" spans="1:41" ht="15.75" customHeight="1">
      <c r="A44" s="3"/>
      <c r="B44" s="800"/>
      <c r="C44" s="20"/>
      <c r="D44" s="27" t="s">
        <v>681</v>
      </c>
      <c r="E44" s="892"/>
      <c r="F44" s="893"/>
      <c r="G44" s="893"/>
      <c r="H44" s="893"/>
      <c r="I44" s="893"/>
      <c r="J44" s="893"/>
      <c r="K44" s="893"/>
      <c r="L44" s="894"/>
      <c r="M44" s="28"/>
      <c r="N44" s="20"/>
      <c r="O44" s="19"/>
      <c r="P44" s="19"/>
      <c r="Q44" s="19"/>
      <c r="R44" s="19"/>
      <c r="S44" s="19"/>
      <c r="T44" s="19"/>
      <c r="U44" s="20"/>
      <c r="V44" s="19"/>
      <c r="W44" s="19"/>
      <c r="X44" s="89"/>
      <c r="Y44" s="89"/>
      <c r="Z44" s="89"/>
      <c r="AA44" s="89"/>
      <c r="AB44" s="89"/>
      <c r="AC44" s="89"/>
      <c r="AD44" s="89"/>
      <c r="AE44" s="89"/>
      <c r="AF44" s="89"/>
      <c r="AG44" s="89"/>
      <c r="AH44" s="89"/>
      <c r="AI44" s="89"/>
      <c r="AJ44" s="89"/>
      <c r="AK44" s="89"/>
      <c r="AL44" s="89"/>
      <c r="AM44" s="89"/>
      <c r="AN44" s="89"/>
      <c r="AO44" s="89"/>
    </row>
    <row r="45" spans="1:41" ht="15.75" customHeight="1">
      <c r="A45" s="3"/>
      <c r="B45" s="801"/>
      <c r="C45" s="20"/>
      <c r="D45" s="28"/>
      <c r="E45" s="28"/>
      <c r="F45" s="28"/>
      <c r="G45" s="28"/>
      <c r="H45" s="28"/>
      <c r="I45" s="28"/>
      <c r="J45" s="28"/>
      <c r="K45" s="28"/>
      <c r="L45" s="28"/>
      <c r="M45" s="28"/>
      <c r="N45" s="20"/>
      <c r="O45" s="19"/>
      <c r="P45" s="19"/>
      <c r="Q45" s="19"/>
      <c r="R45" s="19"/>
      <c r="S45" s="19"/>
      <c r="T45" s="19"/>
      <c r="U45" s="20"/>
      <c r="V45" s="19"/>
      <c r="W45" s="19"/>
      <c r="X45" s="89"/>
      <c r="Y45" s="89"/>
      <c r="Z45" s="89"/>
      <c r="AA45" s="89"/>
      <c r="AB45" s="89"/>
      <c r="AC45" s="89"/>
      <c r="AD45" s="89"/>
      <c r="AE45" s="89"/>
      <c r="AF45" s="89"/>
      <c r="AG45" s="89"/>
      <c r="AH45" s="89"/>
      <c r="AI45" s="89"/>
      <c r="AJ45" s="89"/>
      <c r="AK45" s="89"/>
      <c r="AL45" s="89"/>
      <c r="AM45" s="89"/>
      <c r="AN45" s="89"/>
      <c r="AO45" s="89"/>
    </row>
    <row r="46" spans="1:41" ht="15.75" customHeight="1">
      <c r="A46" s="3"/>
      <c r="B46" s="20"/>
      <c r="C46" s="20"/>
      <c r="D46" s="20"/>
      <c r="E46" s="20"/>
      <c r="F46" s="20"/>
      <c r="G46" s="20"/>
      <c r="H46" s="20"/>
      <c r="I46" s="20"/>
      <c r="J46" s="20"/>
      <c r="K46" s="20"/>
      <c r="L46" s="20"/>
      <c r="M46" s="20"/>
      <c r="N46" s="20"/>
      <c r="O46" s="20"/>
      <c r="P46" s="20"/>
      <c r="Q46" s="20"/>
      <c r="R46" s="20"/>
      <c r="S46" s="20"/>
      <c r="T46" s="20"/>
      <c r="U46" s="20"/>
      <c r="V46" s="20"/>
      <c r="W46" s="20"/>
      <c r="X46" s="89"/>
      <c r="Y46" s="89"/>
      <c r="Z46" s="89"/>
      <c r="AA46" s="89"/>
      <c r="AB46" s="89"/>
      <c r="AC46" s="89"/>
      <c r="AD46" s="89"/>
      <c r="AE46" s="89"/>
      <c r="AF46" s="89"/>
      <c r="AG46" s="89"/>
      <c r="AH46" s="89"/>
      <c r="AI46" s="89"/>
      <c r="AJ46" s="89"/>
      <c r="AK46" s="89"/>
      <c r="AL46" s="89"/>
      <c r="AM46" s="89"/>
      <c r="AN46" s="89"/>
      <c r="AO46" s="89"/>
    </row>
    <row r="47" spans="1:41" ht="15.75" customHeight="1">
      <c r="A47" s="3"/>
      <c r="B47" s="799" t="s">
        <v>1047</v>
      </c>
      <c r="C47" s="20"/>
      <c r="D47" s="26" t="s">
        <v>694</v>
      </c>
      <c r="E47" s="26"/>
      <c r="F47" s="26"/>
      <c r="G47" s="26"/>
      <c r="H47" s="26"/>
      <c r="I47" s="26"/>
      <c r="J47" s="26"/>
      <c r="K47" s="26"/>
      <c r="L47" s="26"/>
      <c r="M47" s="26"/>
      <c r="N47" s="20"/>
      <c r="O47" s="19"/>
      <c r="P47" s="19"/>
      <c r="Q47" s="19"/>
      <c r="R47" s="19"/>
      <c r="S47" s="19"/>
      <c r="T47" s="19"/>
      <c r="U47" s="20"/>
      <c r="V47" s="20"/>
      <c r="W47" s="20"/>
      <c r="X47" s="89"/>
      <c r="Y47" s="89"/>
      <c r="Z47" s="89"/>
      <c r="AA47" s="89"/>
      <c r="AB47" s="89"/>
      <c r="AC47" s="89"/>
      <c r="AD47" s="89"/>
      <c r="AE47" s="89"/>
      <c r="AF47" s="89"/>
      <c r="AG47" s="89"/>
      <c r="AH47" s="89"/>
      <c r="AI47" s="89"/>
      <c r="AJ47" s="89"/>
      <c r="AK47" s="89"/>
      <c r="AL47" s="89"/>
      <c r="AM47" s="89"/>
      <c r="AN47" s="89"/>
      <c r="AO47" s="89"/>
    </row>
    <row r="48" spans="1:41" ht="15.75" customHeight="1">
      <c r="A48" s="3"/>
      <c r="B48" s="800"/>
      <c r="C48" s="20"/>
      <c r="D48" s="27"/>
      <c r="E48" s="28"/>
      <c r="F48" s="27"/>
      <c r="G48" s="27"/>
      <c r="H48" s="28"/>
      <c r="I48" s="28"/>
      <c r="J48" s="28"/>
      <c r="K48" s="28"/>
      <c r="L48" s="28"/>
      <c r="M48" s="28"/>
      <c r="N48" s="20"/>
      <c r="O48" s="19" t="s">
        <v>1049</v>
      </c>
      <c r="P48" s="19"/>
      <c r="Q48" s="19"/>
      <c r="R48" s="19"/>
      <c r="S48" s="19"/>
      <c r="T48" s="19"/>
      <c r="U48" s="20"/>
      <c r="V48" s="20"/>
      <c r="W48" s="20"/>
      <c r="X48" s="89"/>
      <c r="Y48" s="89"/>
      <c r="Z48" s="89"/>
      <c r="AA48" s="89"/>
      <c r="AB48" s="89"/>
      <c r="AC48" s="89"/>
      <c r="AD48" s="89"/>
      <c r="AE48" s="89"/>
      <c r="AF48" s="89"/>
      <c r="AG48" s="89"/>
      <c r="AH48" s="89"/>
      <c r="AI48" s="89"/>
      <c r="AJ48" s="89"/>
      <c r="AK48" s="89"/>
      <c r="AL48" s="89"/>
      <c r="AM48" s="89"/>
      <c r="AN48" s="89"/>
      <c r="AO48" s="89"/>
    </row>
    <row r="49" spans="1:41" ht="15.75" customHeight="1">
      <c r="A49" s="3"/>
      <c r="B49" s="800"/>
      <c r="C49" s="20"/>
      <c r="D49" s="44" t="s">
        <v>81</v>
      </c>
      <c r="E49" s="199">
        <f>Introduction!F21</f>
        <v>1800000</v>
      </c>
      <c r="F49" s="27"/>
      <c r="G49" s="27"/>
      <c r="H49" s="28"/>
      <c r="I49" s="28"/>
      <c r="J49" s="28"/>
      <c r="K49" s="28"/>
      <c r="L49" s="28"/>
      <c r="M49" s="28"/>
      <c r="N49" s="20"/>
      <c r="O49" s="19"/>
      <c r="P49" s="19"/>
      <c r="Q49" s="19"/>
      <c r="R49" s="19"/>
      <c r="S49" s="19"/>
      <c r="T49" s="19"/>
      <c r="U49" s="20"/>
      <c r="V49" s="20"/>
      <c r="W49" s="20"/>
      <c r="X49" s="89"/>
      <c r="Y49" s="89"/>
      <c r="Z49" s="89"/>
      <c r="AA49" s="89"/>
      <c r="AB49" s="89"/>
      <c r="AC49" s="89"/>
      <c r="AD49" s="89"/>
      <c r="AE49" s="89"/>
      <c r="AF49" s="89"/>
      <c r="AG49" s="89"/>
      <c r="AH49" s="89"/>
      <c r="AI49" s="89"/>
      <c r="AJ49" s="89"/>
      <c r="AK49" s="89"/>
      <c r="AL49" s="89"/>
      <c r="AM49" s="89"/>
      <c r="AN49" s="89"/>
      <c r="AO49" s="89"/>
    </row>
    <row r="50" spans="1:41" s="610" customFormat="1" ht="15.75" customHeight="1">
      <c r="A50" s="307"/>
      <c r="B50" s="803"/>
      <c r="C50" s="308"/>
      <c r="D50" s="44" t="s">
        <v>1120</v>
      </c>
      <c r="E50" s="628">
        <v>900000</v>
      </c>
      <c r="F50" s="378"/>
      <c r="G50" s="378"/>
      <c r="H50" s="309"/>
      <c r="I50" s="309"/>
      <c r="J50" s="309"/>
      <c r="K50" s="309"/>
      <c r="L50" s="309"/>
      <c r="M50" s="309"/>
      <c r="N50" s="308"/>
      <c r="O50" s="311"/>
      <c r="P50" s="311"/>
      <c r="Q50" s="311"/>
      <c r="R50" s="311"/>
      <c r="S50" s="311"/>
      <c r="T50" s="311"/>
      <c r="U50" s="308"/>
      <c r="V50" s="308"/>
      <c r="W50" s="308"/>
      <c r="X50" s="612"/>
      <c r="Y50" s="612"/>
      <c r="Z50" s="612"/>
      <c r="AA50" s="612"/>
      <c r="AB50" s="612"/>
      <c r="AC50" s="612"/>
      <c r="AD50" s="612"/>
      <c r="AE50" s="612"/>
      <c r="AF50" s="612"/>
      <c r="AG50" s="612"/>
      <c r="AH50" s="612"/>
      <c r="AI50" s="612"/>
      <c r="AJ50" s="612"/>
      <c r="AK50" s="612"/>
      <c r="AL50" s="612"/>
      <c r="AM50" s="612"/>
      <c r="AN50" s="612"/>
      <c r="AO50" s="612"/>
    </row>
    <row r="51" spans="1:41" ht="15.75" customHeight="1">
      <c r="A51" s="3"/>
      <c r="B51" s="800"/>
      <c r="C51" s="20"/>
      <c r="D51" s="28"/>
      <c r="E51" s="28"/>
      <c r="F51" s="122" t="s">
        <v>712</v>
      </c>
      <c r="G51" s="28"/>
      <c r="H51" s="28"/>
      <c r="I51" s="28"/>
      <c r="J51" s="28"/>
      <c r="K51" s="28"/>
      <c r="L51" s="28"/>
      <c r="M51" s="28"/>
      <c r="N51" s="20"/>
      <c r="O51" s="19"/>
      <c r="P51" s="19"/>
      <c r="Q51" s="19"/>
      <c r="R51" s="19"/>
      <c r="S51" s="19"/>
      <c r="T51" s="19"/>
      <c r="U51" s="20"/>
      <c r="V51" s="20"/>
      <c r="W51" s="20"/>
      <c r="X51" s="89"/>
      <c r="Y51" s="89"/>
      <c r="Z51" s="89"/>
      <c r="AA51" s="89"/>
      <c r="AB51" s="89"/>
      <c r="AC51" s="89"/>
      <c r="AD51" s="89"/>
      <c r="AE51" s="89"/>
      <c r="AF51" s="89"/>
      <c r="AG51" s="89"/>
      <c r="AH51" s="89"/>
      <c r="AI51" s="89"/>
      <c r="AJ51" s="89"/>
      <c r="AK51" s="89"/>
      <c r="AL51" s="89"/>
      <c r="AM51" s="89"/>
      <c r="AN51" s="89"/>
      <c r="AO51" s="89"/>
    </row>
    <row r="52" spans="1:41" ht="15.75" customHeight="1">
      <c r="A52" s="3"/>
      <c r="B52" s="800"/>
      <c r="C52" s="20"/>
      <c r="D52" s="27" t="s">
        <v>713</v>
      </c>
      <c r="E52" s="360">
        <v>800000</v>
      </c>
      <c r="F52" s="200">
        <f>E52/$E$50</f>
        <v>0.88888888888888884</v>
      </c>
      <c r="G52" s="28"/>
      <c r="H52" s="28"/>
      <c r="I52" s="28"/>
      <c r="J52" s="28"/>
      <c r="K52" s="28"/>
      <c r="L52" s="28"/>
      <c r="M52" s="28"/>
      <c r="N52" s="20"/>
      <c r="O52" s="19"/>
      <c r="P52" s="19"/>
      <c r="Q52" s="19"/>
      <c r="R52" s="19"/>
      <c r="S52" s="19"/>
      <c r="T52" s="19"/>
      <c r="U52" s="20"/>
      <c r="V52" s="20"/>
      <c r="W52" s="20"/>
      <c r="X52" s="89"/>
      <c r="Y52" s="89"/>
      <c r="Z52" s="89"/>
      <c r="AA52" s="89"/>
      <c r="AB52" s="89"/>
      <c r="AC52" s="89"/>
      <c r="AD52" s="89"/>
      <c r="AE52" s="89"/>
      <c r="AF52" s="89"/>
      <c r="AG52" s="89"/>
      <c r="AH52" s="89"/>
      <c r="AI52" s="89"/>
      <c r="AJ52" s="89"/>
      <c r="AK52" s="89"/>
      <c r="AL52" s="89"/>
      <c r="AM52" s="89"/>
      <c r="AN52" s="89"/>
      <c r="AO52" s="89"/>
    </row>
    <row r="53" spans="1:41" ht="15.75" customHeight="1">
      <c r="A53" s="3"/>
      <c r="B53" s="800"/>
      <c r="C53" s="20"/>
      <c r="D53" s="27" t="s">
        <v>718</v>
      </c>
      <c r="E53" s="360">
        <v>450000</v>
      </c>
      <c r="F53" s="201">
        <f>E53/$E$50</f>
        <v>0.5</v>
      </c>
      <c r="G53" s="28"/>
      <c r="H53" s="28"/>
      <c r="I53" s="28"/>
      <c r="J53" s="28"/>
      <c r="K53" s="28"/>
      <c r="L53" s="28"/>
      <c r="M53" s="28"/>
      <c r="N53" s="20"/>
      <c r="O53" s="19"/>
      <c r="P53" s="19"/>
      <c r="Q53" s="19"/>
      <c r="R53" s="19"/>
      <c r="S53" s="19"/>
      <c r="T53" s="19"/>
      <c r="U53" s="20"/>
      <c r="V53" s="20"/>
      <c r="W53" s="20"/>
      <c r="X53" s="89"/>
      <c r="Y53" s="89"/>
      <c r="Z53" s="89"/>
      <c r="AA53" s="89"/>
      <c r="AB53" s="89"/>
      <c r="AC53" s="89"/>
      <c r="AD53" s="89"/>
      <c r="AE53" s="89"/>
      <c r="AF53" s="89"/>
      <c r="AG53" s="89"/>
      <c r="AH53" s="89"/>
      <c r="AI53" s="89"/>
      <c r="AJ53" s="89"/>
      <c r="AK53" s="89"/>
      <c r="AL53" s="89"/>
      <c r="AM53" s="89"/>
      <c r="AN53" s="89"/>
      <c r="AO53" s="89"/>
    </row>
    <row r="54" spans="1:41" ht="15.75" customHeight="1">
      <c r="A54" s="3"/>
      <c r="B54" s="800"/>
      <c r="C54" s="20"/>
      <c r="D54" s="27" t="s">
        <v>1101</v>
      </c>
      <c r="E54" s="360" t="s">
        <v>1100</v>
      </c>
      <c r="F54" s="600">
        <f>(_xlfn.IFS(E54="None",0,E54="Some",1,E54="Most",2,E54="All",3)/3)</f>
        <v>0.66666666666666663</v>
      </c>
      <c r="G54" s="28"/>
      <c r="H54" s="28"/>
      <c r="I54" s="28"/>
      <c r="J54" s="28"/>
      <c r="K54" s="28"/>
      <c r="L54" s="28"/>
      <c r="M54" s="28"/>
      <c r="N54" s="20"/>
      <c r="O54" s="19"/>
      <c r="P54" s="19"/>
      <c r="Q54" s="19"/>
      <c r="R54" s="19"/>
      <c r="S54" s="19"/>
      <c r="T54" s="19"/>
      <c r="U54" s="20"/>
      <c r="V54" s="20"/>
      <c r="W54" s="20"/>
      <c r="X54" s="89"/>
      <c r="Y54" s="89"/>
      <c r="Z54" s="89"/>
      <c r="AA54" s="89"/>
      <c r="AB54" s="89"/>
      <c r="AC54" s="89"/>
      <c r="AD54" s="89"/>
      <c r="AE54" s="89"/>
      <c r="AF54" s="89"/>
      <c r="AG54" s="89"/>
      <c r="AH54" s="89"/>
      <c r="AI54" s="89"/>
      <c r="AJ54" s="89"/>
      <c r="AK54" s="89"/>
      <c r="AL54" s="89"/>
      <c r="AM54" s="89"/>
      <c r="AN54" s="89"/>
      <c r="AO54" s="89"/>
    </row>
    <row r="55" spans="1:41" ht="15.75" customHeight="1">
      <c r="A55" s="3"/>
      <c r="B55" s="800"/>
      <c r="C55" s="20"/>
      <c r="D55" s="27"/>
      <c r="E55" s="27"/>
      <c r="F55" s="27"/>
      <c r="G55" s="27"/>
      <c r="H55" s="28"/>
      <c r="I55" s="28"/>
      <c r="J55" s="28"/>
      <c r="K55" s="28"/>
      <c r="L55" s="28"/>
      <c r="M55" s="28"/>
      <c r="N55" s="20"/>
      <c r="O55" s="19"/>
      <c r="P55" s="19"/>
      <c r="Q55" s="19"/>
      <c r="R55" s="19"/>
      <c r="S55" s="19"/>
      <c r="T55" s="19"/>
      <c r="U55" s="20"/>
      <c r="V55" s="20"/>
      <c r="W55" s="20"/>
      <c r="X55" s="89"/>
      <c r="Y55" s="89"/>
      <c r="Z55" s="89"/>
      <c r="AA55" s="89"/>
      <c r="AB55" s="89"/>
      <c r="AC55" s="89"/>
      <c r="AD55" s="89"/>
      <c r="AE55" s="89"/>
      <c r="AF55" s="89"/>
      <c r="AG55" s="89"/>
      <c r="AH55" s="89"/>
      <c r="AI55" s="89"/>
      <c r="AJ55" s="89"/>
      <c r="AK55" s="89"/>
      <c r="AL55" s="89"/>
      <c r="AM55" s="89"/>
      <c r="AN55" s="89"/>
      <c r="AO55" s="89"/>
    </row>
    <row r="56" spans="1:41" ht="15.75" customHeight="1">
      <c r="A56" s="3"/>
      <c r="B56" s="800"/>
      <c r="C56" s="20"/>
      <c r="D56" s="27" t="s">
        <v>1048</v>
      </c>
      <c r="E56" s="892"/>
      <c r="F56" s="893"/>
      <c r="G56" s="894"/>
      <c r="H56" s="28"/>
      <c r="I56" s="28"/>
      <c r="J56" s="28"/>
      <c r="K56" s="28"/>
      <c r="L56" s="28"/>
      <c r="M56" s="28"/>
      <c r="N56" s="20"/>
      <c r="O56" s="19"/>
      <c r="P56" s="19"/>
      <c r="Q56" s="19"/>
      <c r="R56" s="19"/>
      <c r="S56" s="19"/>
      <c r="T56" s="19"/>
      <c r="U56" s="20"/>
      <c r="V56" s="20"/>
      <c r="W56" s="20"/>
      <c r="X56" s="89"/>
      <c r="Y56" s="89"/>
      <c r="Z56" s="89"/>
      <c r="AA56" s="89"/>
      <c r="AB56" s="89"/>
      <c r="AC56" s="89"/>
      <c r="AD56" s="89"/>
      <c r="AE56" s="89"/>
      <c r="AF56" s="89"/>
      <c r="AG56" s="89"/>
      <c r="AH56" s="89"/>
      <c r="AI56" s="89"/>
      <c r="AJ56" s="89"/>
      <c r="AK56" s="89"/>
      <c r="AL56" s="89"/>
      <c r="AM56" s="89"/>
      <c r="AN56" s="89"/>
      <c r="AO56" s="89"/>
    </row>
    <row r="57" spans="1:41" ht="15.75" customHeight="1">
      <c r="A57" s="3"/>
      <c r="B57" s="800"/>
      <c r="C57" s="20"/>
      <c r="D57" s="27" t="s">
        <v>1048</v>
      </c>
      <c r="E57" s="904"/>
      <c r="F57" s="905"/>
      <c r="G57" s="906"/>
      <c r="H57" s="28"/>
      <c r="I57" s="28"/>
      <c r="J57" s="28"/>
      <c r="K57" s="28"/>
      <c r="L57" s="28"/>
      <c r="M57" s="28"/>
      <c r="N57" s="20"/>
      <c r="O57" s="19"/>
      <c r="P57" s="19"/>
      <c r="Q57" s="19"/>
      <c r="R57" s="19"/>
      <c r="S57" s="19"/>
      <c r="T57" s="19"/>
      <c r="U57" s="20"/>
      <c r="V57" s="20"/>
      <c r="W57" s="20"/>
      <c r="X57" s="89"/>
      <c r="Y57" s="89"/>
      <c r="Z57" s="89"/>
      <c r="AA57" s="89"/>
      <c r="AB57" s="89"/>
      <c r="AC57" s="89"/>
      <c r="AD57" s="89"/>
      <c r="AE57" s="89"/>
      <c r="AF57" s="89"/>
      <c r="AG57" s="89"/>
      <c r="AH57" s="89"/>
      <c r="AI57" s="89"/>
      <c r="AJ57" s="89"/>
      <c r="AK57" s="89"/>
      <c r="AL57" s="89"/>
      <c r="AM57" s="89"/>
      <c r="AN57" s="89"/>
      <c r="AO57" s="89"/>
    </row>
    <row r="58" spans="1:41" ht="15.75" customHeight="1" thickBot="1">
      <c r="A58" s="3"/>
      <c r="B58" s="800"/>
      <c r="C58" s="20"/>
      <c r="D58" s="27" t="s">
        <v>1048</v>
      </c>
      <c r="E58" s="911"/>
      <c r="F58" s="912"/>
      <c r="G58" s="913"/>
      <c r="H58" s="28"/>
      <c r="I58" s="27"/>
      <c r="J58" s="907"/>
      <c r="K58" s="907"/>
      <c r="L58" s="907"/>
      <c r="M58" s="28"/>
      <c r="N58" s="20"/>
      <c r="O58" s="19"/>
      <c r="P58" s="19"/>
      <c r="Q58" s="19"/>
      <c r="R58" s="19"/>
      <c r="S58" s="19"/>
      <c r="T58" s="19"/>
      <c r="U58" s="20"/>
      <c r="V58" s="20"/>
      <c r="W58" s="20"/>
      <c r="X58" s="89"/>
      <c r="Y58" s="89"/>
      <c r="Z58" s="89"/>
      <c r="AA58" s="89"/>
      <c r="AB58" s="89"/>
      <c r="AC58" s="89"/>
      <c r="AD58" s="89"/>
      <c r="AE58" s="89"/>
      <c r="AF58" s="89"/>
      <c r="AG58" s="89"/>
      <c r="AH58" s="89"/>
      <c r="AI58" s="89"/>
      <c r="AJ58" s="89"/>
      <c r="AK58" s="89"/>
      <c r="AL58" s="89"/>
      <c r="AM58" s="89"/>
      <c r="AN58" s="89"/>
      <c r="AO58" s="89"/>
    </row>
    <row r="59" spans="1:41" ht="15.75" customHeight="1" thickTop="1">
      <c r="A59" s="3"/>
      <c r="B59" s="800"/>
      <c r="C59" s="20"/>
      <c r="D59" s="27" t="s">
        <v>720</v>
      </c>
      <c r="E59" s="908"/>
      <c r="F59" s="909"/>
      <c r="G59" s="910"/>
      <c r="H59" s="28"/>
      <c r="I59" s="27" t="s">
        <v>721</v>
      </c>
      <c r="J59" s="904"/>
      <c r="K59" s="905"/>
      <c r="L59" s="906"/>
      <c r="M59" s="28"/>
      <c r="N59" s="20"/>
      <c r="O59" s="19"/>
      <c r="P59" s="19"/>
      <c r="Q59" s="19"/>
      <c r="R59" s="19"/>
      <c r="S59" s="19"/>
      <c r="T59" s="19"/>
      <c r="U59" s="20"/>
      <c r="V59" s="20"/>
      <c r="W59" s="20"/>
      <c r="X59" s="89"/>
      <c r="Y59" s="89"/>
      <c r="Z59" s="89"/>
      <c r="AA59" s="89"/>
      <c r="AB59" s="89"/>
      <c r="AC59" s="89"/>
      <c r="AD59" s="89"/>
      <c r="AE59" s="89"/>
      <c r="AF59" s="89"/>
      <c r="AG59" s="89"/>
      <c r="AH59" s="89"/>
      <c r="AI59" s="89"/>
      <c r="AJ59" s="89"/>
      <c r="AK59" s="89"/>
      <c r="AL59" s="89"/>
      <c r="AM59" s="89"/>
      <c r="AN59" s="89"/>
      <c r="AO59" s="89"/>
    </row>
    <row r="60" spans="1:41" ht="15.75" customHeight="1">
      <c r="A60" s="3"/>
      <c r="B60" s="800"/>
      <c r="C60" s="20"/>
      <c r="D60" s="27" t="s">
        <v>720</v>
      </c>
      <c r="E60" s="904"/>
      <c r="F60" s="905"/>
      <c r="G60" s="906"/>
      <c r="H60" s="28"/>
      <c r="I60" s="27" t="s">
        <v>721</v>
      </c>
      <c r="J60" s="904"/>
      <c r="K60" s="905"/>
      <c r="L60" s="906"/>
      <c r="M60" s="28"/>
      <c r="N60" s="20"/>
      <c r="O60" s="19"/>
      <c r="P60" s="19"/>
      <c r="Q60" s="19"/>
      <c r="R60" s="19"/>
      <c r="S60" s="19"/>
      <c r="T60" s="19"/>
      <c r="U60" s="20"/>
      <c r="V60" s="20"/>
      <c r="W60" s="20"/>
      <c r="X60" s="89"/>
      <c r="Y60" s="89"/>
      <c r="Z60" s="89"/>
      <c r="AA60" s="89"/>
      <c r="AB60" s="89"/>
      <c r="AC60" s="89"/>
      <c r="AD60" s="89"/>
      <c r="AE60" s="89"/>
      <c r="AF60" s="89"/>
      <c r="AG60" s="89"/>
      <c r="AH60" s="89"/>
      <c r="AI60" s="89"/>
      <c r="AJ60" s="89"/>
      <c r="AK60" s="89"/>
      <c r="AL60" s="89"/>
      <c r="AM60" s="89"/>
      <c r="AN60" s="89"/>
      <c r="AO60" s="89"/>
    </row>
    <row r="61" spans="1:41" ht="15.75" customHeight="1">
      <c r="A61" s="3"/>
      <c r="B61" s="800"/>
      <c r="C61" s="20"/>
      <c r="D61" s="27" t="s">
        <v>720</v>
      </c>
      <c r="E61" s="904"/>
      <c r="F61" s="905"/>
      <c r="G61" s="906"/>
      <c r="H61" s="28"/>
      <c r="I61" s="27" t="s">
        <v>721</v>
      </c>
      <c r="J61" s="904"/>
      <c r="K61" s="905"/>
      <c r="L61" s="906"/>
      <c r="M61" s="28"/>
      <c r="N61" s="20"/>
      <c r="O61" s="19"/>
      <c r="P61" s="19"/>
      <c r="Q61" s="19"/>
      <c r="R61" s="19"/>
      <c r="S61" s="19"/>
      <c r="T61" s="19"/>
      <c r="U61" s="20"/>
      <c r="V61" s="20"/>
      <c r="W61" s="20"/>
      <c r="X61" s="89"/>
      <c r="Y61" s="89"/>
      <c r="Z61" s="89"/>
      <c r="AA61" s="89"/>
      <c r="AB61" s="89"/>
      <c r="AC61" s="89"/>
      <c r="AD61" s="89"/>
      <c r="AE61" s="89"/>
      <c r="AF61" s="89"/>
      <c r="AG61" s="89"/>
      <c r="AH61" s="89"/>
      <c r="AI61" s="89"/>
      <c r="AJ61" s="89"/>
      <c r="AK61" s="89"/>
      <c r="AL61" s="89"/>
      <c r="AM61" s="89"/>
      <c r="AN61" s="89"/>
      <c r="AO61" s="89"/>
    </row>
    <row r="62" spans="1:41" ht="15.75" customHeight="1">
      <c r="A62" s="3"/>
      <c r="B62" s="801"/>
      <c r="C62" s="20"/>
      <c r="D62" s="28"/>
      <c r="E62" s="28"/>
      <c r="F62" s="28"/>
      <c r="G62" s="28"/>
      <c r="H62" s="28"/>
      <c r="I62" s="28"/>
      <c r="J62" s="28"/>
      <c r="K62" s="28"/>
      <c r="L62" s="28"/>
      <c r="M62" s="28"/>
      <c r="N62" s="20"/>
      <c r="O62" s="19"/>
      <c r="P62" s="19"/>
      <c r="Q62" s="19"/>
      <c r="R62" s="19"/>
      <c r="S62" s="19"/>
      <c r="T62" s="19"/>
      <c r="U62" s="20"/>
      <c r="V62" s="20"/>
      <c r="W62" s="20"/>
      <c r="X62" s="89"/>
      <c r="Y62" s="89"/>
      <c r="Z62" s="89"/>
      <c r="AA62" s="89"/>
      <c r="AB62" s="89"/>
      <c r="AC62" s="89"/>
      <c r="AD62" s="89"/>
      <c r="AE62" s="89"/>
      <c r="AF62" s="89"/>
      <c r="AG62" s="89"/>
      <c r="AH62" s="89"/>
      <c r="AI62" s="89"/>
      <c r="AJ62" s="89"/>
      <c r="AK62" s="89"/>
      <c r="AL62" s="89"/>
      <c r="AM62" s="89"/>
      <c r="AN62" s="89"/>
      <c r="AO62" s="89"/>
    </row>
    <row r="63" spans="1:41" ht="15.75" customHeight="1">
      <c r="A63" s="3"/>
      <c r="B63" s="3"/>
      <c r="C63" s="3"/>
      <c r="D63" s="3"/>
      <c r="E63" s="3"/>
      <c r="F63" s="3"/>
      <c r="G63" s="3"/>
      <c r="H63" s="3"/>
      <c r="I63" s="3"/>
      <c r="J63" s="3"/>
      <c r="K63" s="3"/>
      <c r="L63" s="3"/>
      <c r="M63" s="3"/>
      <c r="N63" s="3"/>
      <c r="O63" s="3"/>
      <c r="P63" s="3"/>
      <c r="Q63" s="3"/>
      <c r="R63" s="3"/>
      <c r="S63" s="3"/>
      <c r="T63" s="3"/>
      <c r="U63" s="3"/>
      <c r="V63" s="3"/>
      <c r="W63" s="3"/>
      <c r="X63" s="89"/>
      <c r="Y63" s="89"/>
      <c r="Z63" s="89"/>
      <c r="AA63" s="89"/>
      <c r="AB63" s="89"/>
      <c r="AC63" s="89"/>
      <c r="AD63" s="89"/>
      <c r="AE63" s="89"/>
      <c r="AF63" s="89"/>
      <c r="AG63" s="89"/>
      <c r="AH63" s="89"/>
      <c r="AI63" s="89"/>
      <c r="AJ63" s="89"/>
      <c r="AK63" s="89"/>
      <c r="AL63" s="89"/>
      <c r="AM63" s="89"/>
      <c r="AN63" s="89"/>
      <c r="AO63" s="89"/>
    </row>
    <row r="64" spans="1:41" ht="15.75" customHeight="1">
      <c r="A64" s="3"/>
      <c r="B64" s="3"/>
      <c r="C64" s="3"/>
      <c r="D64" s="3"/>
      <c r="E64" s="3"/>
      <c r="F64" s="3"/>
      <c r="G64" s="3"/>
      <c r="H64" s="3"/>
      <c r="I64" s="3"/>
      <c r="J64" s="3"/>
      <c r="K64" s="3"/>
      <c r="L64" s="3"/>
      <c r="M64" s="3"/>
      <c r="N64" s="3"/>
      <c r="O64" s="3"/>
      <c r="P64" s="3"/>
      <c r="Q64" s="3"/>
      <c r="R64" s="3"/>
      <c r="S64" s="3"/>
      <c r="T64" s="3"/>
      <c r="U64" s="3"/>
      <c r="V64" s="3"/>
      <c r="W64" s="3"/>
      <c r="X64" s="89"/>
      <c r="Y64" s="89"/>
      <c r="Z64" s="89"/>
      <c r="AA64" s="89"/>
      <c r="AB64" s="89"/>
      <c r="AC64" s="89"/>
      <c r="AD64" s="89"/>
      <c r="AE64" s="89"/>
      <c r="AF64" s="89"/>
      <c r="AG64" s="89"/>
      <c r="AH64" s="89"/>
      <c r="AI64" s="89"/>
      <c r="AJ64" s="89"/>
      <c r="AK64" s="89"/>
      <c r="AL64" s="89"/>
      <c r="AM64" s="89"/>
      <c r="AN64" s="89"/>
      <c r="AO64" s="89"/>
    </row>
    <row r="65" spans="1:41" ht="15.75" customHeight="1">
      <c r="A65" s="3"/>
      <c r="B65" s="3"/>
      <c r="C65" s="3"/>
      <c r="D65" s="3"/>
      <c r="E65" s="3"/>
      <c r="F65" s="3"/>
      <c r="G65" s="3"/>
      <c r="H65" s="3"/>
      <c r="I65" s="3"/>
      <c r="J65" s="3"/>
      <c r="K65" s="3"/>
      <c r="L65" s="3"/>
      <c r="M65" s="3"/>
      <c r="N65" s="3"/>
      <c r="O65" s="3"/>
      <c r="P65" s="3"/>
      <c r="Q65" s="3"/>
      <c r="R65" s="3"/>
      <c r="S65" s="3"/>
      <c r="T65" s="3"/>
      <c r="U65" s="3"/>
      <c r="V65" s="3"/>
      <c r="W65" s="3"/>
      <c r="X65" s="89"/>
      <c r="Y65" s="89"/>
      <c r="Z65" s="89"/>
      <c r="AA65" s="89"/>
      <c r="AB65" s="89"/>
      <c r="AC65" s="89"/>
      <c r="AD65" s="89"/>
      <c r="AE65" s="89"/>
      <c r="AF65" s="89"/>
      <c r="AG65" s="89"/>
      <c r="AH65" s="89"/>
      <c r="AI65" s="89"/>
      <c r="AJ65" s="89"/>
      <c r="AK65" s="89"/>
      <c r="AL65" s="89"/>
      <c r="AM65" s="89"/>
      <c r="AN65" s="89"/>
      <c r="AO65" s="89"/>
    </row>
    <row r="66" spans="1:41" ht="15.75" customHeight="1">
      <c r="A66" s="3"/>
      <c r="B66" s="3"/>
      <c r="C66" s="3"/>
      <c r="D66" s="3"/>
      <c r="E66" s="3"/>
      <c r="F66" s="3"/>
      <c r="G66" s="3"/>
      <c r="H66" s="3"/>
      <c r="I66" s="3"/>
      <c r="J66" s="3"/>
      <c r="K66" s="3"/>
      <c r="L66" s="3"/>
      <c r="M66" s="3"/>
      <c r="N66" s="3"/>
      <c r="O66" s="3"/>
      <c r="P66" s="3"/>
      <c r="Q66" s="3"/>
      <c r="R66" s="3"/>
      <c r="S66" s="3"/>
      <c r="T66" s="3"/>
      <c r="U66" s="3"/>
      <c r="V66" s="3"/>
      <c r="W66" s="3"/>
      <c r="X66" s="89"/>
      <c r="Y66" s="89"/>
      <c r="Z66" s="89"/>
      <c r="AA66" s="89"/>
      <c r="AB66" s="89"/>
      <c r="AC66" s="89"/>
      <c r="AD66" s="89"/>
      <c r="AE66" s="89"/>
      <c r="AF66" s="89"/>
      <c r="AG66" s="89"/>
      <c r="AH66" s="89"/>
      <c r="AI66" s="89"/>
      <c r="AJ66" s="89"/>
      <c r="AK66" s="89"/>
      <c r="AL66" s="89"/>
      <c r="AM66" s="89"/>
      <c r="AN66" s="89"/>
      <c r="AO66" s="89"/>
    </row>
    <row r="67" spans="1:41" ht="15.75" customHeight="1">
      <c r="A67" s="3"/>
      <c r="B67" s="3"/>
      <c r="C67" s="3"/>
      <c r="D67" s="3"/>
      <c r="E67" s="3"/>
      <c r="F67" s="3"/>
      <c r="G67" s="3"/>
      <c r="H67" s="3"/>
      <c r="I67" s="3"/>
      <c r="J67" s="3"/>
      <c r="K67" s="3"/>
      <c r="L67" s="3"/>
      <c r="M67" s="3"/>
      <c r="N67" s="3"/>
      <c r="O67" s="3"/>
      <c r="P67" s="3"/>
      <c r="Q67" s="3"/>
      <c r="R67" s="3"/>
      <c r="S67" s="3"/>
      <c r="T67" s="3"/>
      <c r="U67" s="3"/>
      <c r="V67" s="3"/>
      <c r="W67" s="3"/>
      <c r="X67" s="89"/>
      <c r="Y67" s="89"/>
      <c r="Z67" s="89"/>
      <c r="AA67" s="89"/>
      <c r="AB67" s="89"/>
      <c r="AC67" s="89"/>
      <c r="AD67" s="89"/>
      <c r="AE67" s="89"/>
      <c r="AF67" s="89"/>
      <c r="AG67" s="89"/>
      <c r="AH67" s="89"/>
      <c r="AI67" s="89"/>
      <c r="AJ67" s="89"/>
      <c r="AK67" s="89"/>
      <c r="AL67" s="89"/>
      <c r="AM67" s="89"/>
      <c r="AN67" s="89"/>
      <c r="AO67" s="89"/>
    </row>
    <row r="68" spans="1:41" ht="15.75" customHeight="1">
      <c r="A68" s="3"/>
      <c r="B68" s="3"/>
      <c r="C68" s="3"/>
      <c r="D68" s="3"/>
      <c r="E68" s="3"/>
      <c r="F68" s="3"/>
      <c r="G68" s="3"/>
      <c r="H68" s="3"/>
      <c r="I68" s="3"/>
      <c r="J68" s="3"/>
      <c r="K68" s="3"/>
      <c r="L68" s="3"/>
      <c r="M68" s="3"/>
      <c r="N68" s="3"/>
      <c r="O68" s="3"/>
      <c r="P68" s="3"/>
      <c r="Q68" s="3"/>
      <c r="R68" s="3"/>
      <c r="S68" s="3"/>
      <c r="T68" s="3"/>
      <c r="U68" s="3"/>
      <c r="V68" s="3"/>
      <c r="W68" s="3"/>
      <c r="X68" s="89"/>
      <c r="Y68" s="89"/>
      <c r="Z68" s="89"/>
      <c r="AA68" s="89"/>
      <c r="AB68" s="89"/>
      <c r="AC68" s="89"/>
      <c r="AD68" s="89"/>
      <c r="AE68" s="89"/>
      <c r="AF68" s="89"/>
      <c r="AG68" s="89"/>
      <c r="AH68" s="89"/>
      <c r="AI68" s="89"/>
      <c r="AJ68" s="89"/>
      <c r="AK68" s="89"/>
      <c r="AL68" s="89"/>
      <c r="AM68" s="89"/>
      <c r="AN68" s="89"/>
      <c r="AO68" s="89"/>
    </row>
    <row r="69" spans="1:41" ht="15.75" customHeight="1">
      <c r="A69" s="3"/>
      <c r="B69" s="3"/>
      <c r="C69" s="3"/>
      <c r="D69" s="3"/>
      <c r="E69" s="3"/>
      <c r="F69" s="3"/>
      <c r="G69" s="3"/>
      <c r="H69" s="3"/>
      <c r="I69" s="3"/>
      <c r="J69" s="3"/>
      <c r="K69" s="3"/>
      <c r="L69" s="3"/>
      <c r="M69" s="3"/>
      <c r="N69" s="3"/>
      <c r="O69" s="3"/>
      <c r="P69" s="3"/>
      <c r="Q69" s="3"/>
      <c r="R69" s="3"/>
      <c r="S69" s="3"/>
      <c r="T69" s="3"/>
      <c r="U69" s="3"/>
      <c r="V69" s="3"/>
      <c r="W69" s="3"/>
      <c r="X69" s="89"/>
      <c r="Y69" s="89"/>
      <c r="Z69" s="89"/>
      <c r="AA69" s="89"/>
      <c r="AB69" s="89"/>
      <c r="AC69" s="89"/>
      <c r="AD69" s="89"/>
      <c r="AE69" s="89"/>
      <c r="AF69" s="89"/>
      <c r="AG69" s="89"/>
      <c r="AH69" s="89"/>
      <c r="AI69" s="89"/>
      <c r="AJ69" s="89"/>
      <c r="AK69" s="89"/>
      <c r="AL69" s="89"/>
      <c r="AM69" s="89"/>
      <c r="AN69" s="89"/>
      <c r="AO69" s="89"/>
    </row>
    <row r="70" spans="1:41" ht="15.75" customHeight="1">
      <c r="A70" s="3"/>
      <c r="B70" s="3"/>
      <c r="C70" s="3"/>
      <c r="D70" s="3"/>
      <c r="E70" s="3"/>
      <c r="F70" s="3"/>
      <c r="G70" s="3"/>
      <c r="H70" s="3"/>
      <c r="I70" s="3"/>
      <c r="J70" s="3"/>
      <c r="K70" s="3"/>
      <c r="L70" s="3"/>
      <c r="M70" s="3"/>
      <c r="N70" s="3"/>
      <c r="O70" s="3"/>
      <c r="P70" s="3"/>
      <c r="Q70" s="3"/>
      <c r="R70" s="3"/>
      <c r="S70" s="3"/>
      <c r="T70" s="3"/>
      <c r="U70" s="3"/>
      <c r="V70" s="3"/>
      <c r="W70" s="3"/>
      <c r="X70" s="89"/>
      <c r="Y70" s="89"/>
      <c r="Z70" s="89"/>
      <c r="AA70" s="89"/>
      <c r="AB70" s="89"/>
      <c r="AC70" s="89"/>
      <c r="AD70" s="89"/>
      <c r="AE70" s="89"/>
      <c r="AF70" s="89"/>
      <c r="AG70" s="89"/>
      <c r="AH70" s="89"/>
      <c r="AI70" s="89"/>
      <c r="AJ70" s="89"/>
      <c r="AK70" s="89"/>
      <c r="AL70" s="89"/>
      <c r="AM70" s="89"/>
      <c r="AN70" s="89"/>
      <c r="AO70" s="89"/>
    </row>
    <row r="71" spans="1:41" ht="15.75" customHeight="1">
      <c r="A71" s="3"/>
      <c r="B71" s="3"/>
      <c r="C71" s="3"/>
      <c r="D71" s="3"/>
      <c r="E71" s="3"/>
      <c r="F71" s="3"/>
      <c r="G71" s="3"/>
      <c r="H71" s="3"/>
      <c r="I71" s="3"/>
      <c r="J71" s="3"/>
      <c r="K71" s="3"/>
      <c r="L71" s="3"/>
      <c r="M71" s="3"/>
      <c r="N71" s="3"/>
      <c r="O71" s="3"/>
      <c r="P71" s="3"/>
      <c r="Q71" s="3"/>
      <c r="R71" s="3"/>
      <c r="S71" s="3"/>
      <c r="T71" s="3"/>
      <c r="U71" s="3"/>
      <c r="V71" s="3"/>
      <c r="W71" s="3"/>
      <c r="X71" s="89"/>
      <c r="Y71" s="89"/>
      <c r="Z71" s="89"/>
      <c r="AA71" s="89"/>
      <c r="AB71" s="89"/>
      <c r="AC71" s="89"/>
      <c r="AD71" s="89"/>
      <c r="AE71" s="89"/>
      <c r="AF71" s="89"/>
      <c r="AG71" s="89"/>
      <c r="AH71" s="89"/>
      <c r="AI71" s="89"/>
      <c r="AJ71" s="89"/>
      <c r="AK71" s="89"/>
      <c r="AL71" s="89"/>
      <c r="AM71" s="89"/>
      <c r="AN71" s="89"/>
      <c r="AO71" s="89"/>
    </row>
    <row r="72" spans="1:41" ht="15.75" customHeight="1">
      <c r="A72" s="3"/>
      <c r="B72" s="3"/>
      <c r="C72" s="3"/>
      <c r="D72" s="3"/>
      <c r="E72" s="3"/>
      <c r="F72" s="3"/>
      <c r="G72" s="3"/>
      <c r="H72" s="3"/>
      <c r="I72" s="3"/>
      <c r="J72" s="3"/>
      <c r="K72" s="3"/>
      <c r="L72" s="3"/>
      <c r="M72" s="3"/>
      <c r="N72" s="3"/>
      <c r="O72" s="3"/>
      <c r="P72" s="3"/>
      <c r="Q72" s="3"/>
      <c r="R72" s="3"/>
      <c r="S72" s="3"/>
      <c r="T72" s="3"/>
      <c r="U72" s="3"/>
      <c r="V72" s="3"/>
      <c r="W72" s="3"/>
      <c r="X72" s="89"/>
      <c r="Y72" s="89"/>
      <c r="Z72" s="89"/>
      <c r="AA72" s="89"/>
      <c r="AB72" s="89"/>
      <c r="AC72" s="89"/>
      <c r="AD72" s="89"/>
      <c r="AE72" s="89"/>
      <c r="AF72" s="89"/>
      <c r="AG72" s="89"/>
      <c r="AH72" s="89"/>
      <c r="AI72" s="89"/>
      <c r="AJ72" s="89"/>
      <c r="AK72" s="89"/>
      <c r="AL72" s="89"/>
      <c r="AM72" s="89"/>
      <c r="AN72" s="89"/>
      <c r="AO72" s="89"/>
    </row>
    <row r="73" spans="1:41" ht="15.75" customHeight="1">
      <c r="A73" s="3"/>
      <c r="B73" s="3"/>
      <c r="C73" s="3"/>
      <c r="D73" s="3"/>
      <c r="E73" s="3"/>
      <c r="F73" s="3"/>
      <c r="G73" s="3"/>
      <c r="H73" s="3"/>
      <c r="I73" s="3"/>
      <c r="J73" s="3"/>
      <c r="K73" s="3"/>
      <c r="L73" s="3"/>
      <c r="M73" s="3"/>
      <c r="N73" s="3"/>
      <c r="O73" s="3"/>
      <c r="P73" s="3"/>
      <c r="Q73" s="3"/>
      <c r="R73" s="3"/>
      <c r="S73" s="3"/>
      <c r="T73" s="3"/>
      <c r="U73" s="3"/>
      <c r="V73" s="3"/>
      <c r="W73" s="3"/>
      <c r="X73" s="89"/>
      <c r="Y73" s="89"/>
      <c r="Z73" s="89"/>
      <c r="AA73" s="89"/>
      <c r="AB73" s="89"/>
      <c r="AC73" s="89"/>
      <c r="AD73" s="89"/>
      <c r="AE73" s="89"/>
      <c r="AF73" s="89"/>
      <c r="AG73" s="89"/>
      <c r="AH73" s="89"/>
      <c r="AI73" s="89"/>
      <c r="AJ73" s="89"/>
      <c r="AK73" s="89"/>
      <c r="AL73" s="89"/>
      <c r="AM73" s="89"/>
      <c r="AN73" s="89"/>
      <c r="AO73" s="89"/>
    </row>
    <row r="74" spans="1:41" ht="15.75" customHeight="1">
      <c r="A74" s="3"/>
      <c r="B74" s="3"/>
      <c r="C74" s="3"/>
      <c r="D74" s="3"/>
      <c r="E74" s="3"/>
      <c r="F74" s="3"/>
      <c r="G74" s="3"/>
      <c r="H74" s="3"/>
      <c r="I74" s="3"/>
      <c r="J74" s="3"/>
      <c r="K74" s="3"/>
      <c r="L74" s="3"/>
      <c r="M74" s="3"/>
      <c r="N74" s="3"/>
      <c r="O74" s="3"/>
      <c r="P74" s="3"/>
      <c r="Q74" s="3"/>
      <c r="R74" s="3"/>
      <c r="S74" s="3"/>
      <c r="T74" s="3"/>
      <c r="U74" s="3"/>
      <c r="V74" s="3"/>
      <c r="W74" s="3"/>
      <c r="X74" s="89"/>
      <c r="Y74" s="89"/>
      <c r="Z74" s="89"/>
      <c r="AA74" s="89"/>
      <c r="AB74" s="89"/>
      <c r="AC74" s="89"/>
      <c r="AD74" s="89"/>
      <c r="AE74" s="89"/>
      <c r="AF74" s="89"/>
      <c r="AG74" s="89"/>
      <c r="AH74" s="89"/>
      <c r="AI74" s="89"/>
      <c r="AJ74" s="89"/>
      <c r="AK74" s="89"/>
      <c r="AL74" s="89"/>
      <c r="AM74" s="89"/>
      <c r="AN74" s="89"/>
      <c r="AO74" s="89"/>
    </row>
    <row r="75" spans="1:41" ht="15.75" customHeight="1">
      <c r="A75" s="3"/>
      <c r="B75" s="3"/>
      <c r="C75" s="3"/>
      <c r="D75" s="3"/>
      <c r="E75" s="3"/>
      <c r="F75" s="3"/>
      <c r="G75" s="3"/>
      <c r="H75" s="3"/>
      <c r="I75" s="3"/>
      <c r="J75" s="3"/>
      <c r="K75" s="3"/>
      <c r="L75" s="3"/>
      <c r="M75" s="3"/>
      <c r="N75" s="3"/>
      <c r="O75" s="3"/>
      <c r="P75" s="3"/>
      <c r="Q75" s="3"/>
      <c r="R75" s="3"/>
      <c r="S75" s="3"/>
      <c r="T75" s="3"/>
      <c r="U75" s="3"/>
      <c r="V75" s="3"/>
      <c r="W75" s="3"/>
      <c r="X75" s="89"/>
      <c r="Y75" s="89"/>
      <c r="Z75" s="89"/>
      <c r="AA75" s="89"/>
      <c r="AB75" s="89"/>
      <c r="AC75" s="89"/>
      <c r="AD75" s="89"/>
      <c r="AE75" s="89"/>
      <c r="AF75" s="89"/>
      <c r="AG75" s="89"/>
      <c r="AH75" s="89"/>
      <c r="AI75" s="89"/>
      <c r="AJ75" s="89"/>
      <c r="AK75" s="89"/>
      <c r="AL75" s="89"/>
      <c r="AM75" s="89"/>
      <c r="AN75" s="89"/>
      <c r="AO75" s="89"/>
    </row>
    <row r="76" spans="1:41" ht="15.75" customHeight="1">
      <c r="A76" s="3"/>
      <c r="B76" s="3"/>
      <c r="C76" s="3"/>
      <c r="D76" s="3"/>
      <c r="E76" s="3"/>
      <c r="F76" s="3"/>
      <c r="G76" s="3"/>
      <c r="H76" s="3"/>
      <c r="I76" s="3"/>
      <c r="J76" s="3"/>
      <c r="K76" s="3"/>
      <c r="L76" s="3"/>
      <c r="M76" s="3"/>
      <c r="N76" s="3"/>
      <c r="O76" s="3"/>
      <c r="P76" s="3"/>
      <c r="Q76" s="3"/>
      <c r="R76" s="3"/>
      <c r="S76" s="3"/>
      <c r="T76" s="3"/>
      <c r="U76" s="3"/>
      <c r="V76" s="3"/>
      <c r="W76" s="3"/>
      <c r="X76" s="89"/>
      <c r="Y76" s="89"/>
      <c r="Z76" s="89"/>
      <c r="AA76" s="89"/>
      <c r="AB76" s="89"/>
      <c r="AC76" s="89"/>
      <c r="AD76" s="89"/>
      <c r="AE76" s="89"/>
      <c r="AF76" s="89"/>
      <c r="AG76" s="89"/>
      <c r="AH76" s="89"/>
      <c r="AI76" s="89"/>
      <c r="AJ76" s="89"/>
      <c r="AK76" s="89"/>
      <c r="AL76" s="89"/>
      <c r="AM76" s="89"/>
      <c r="AN76" s="89"/>
      <c r="AO76" s="89"/>
    </row>
    <row r="77" spans="1:41" ht="15.75" customHeight="1">
      <c r="A77" s="3"/>
      <c r="B77" s="3"/>
      <c r="C77" s="3"/>
      <c r="D77" s="3"/>
      <c r="E77" s="3"/>
      <c r="F77" s="3"/>
      <c r="G77" s="3"/>
      <c r="H77" s="3"/>
      <c r="I77" s="3"/>
      <c r="J77" s="3"/>
      <c r="K77" s="3"/>
      <c r="L77" s="3"/>
      <c r="M77" s="3"/>
      <c r="N77" s="3"/>
      <c r="O77" s="3"/>
      <c r="P77" s="3"/>
      <c r="Q77" s="3"/>
      <c r="R77" s="3"/>
      <c r="S77" s="3"/>
      <c r="T77" s="3"/>
      <c r="U77" s="3"/>
      <c r="V77" s="3"/>
      <c r="W77" s="3"/>
      <c r="X77" s="89"/>
      <c r="Y77" s="89"/>
      <c r="Z77" s="89"/>
      <c r="AA77" s="89"/>
      <c r="AB77" s="89"/>
      <c r="AC77" s="89"/>
      <c r="AD77" s="89"/>
      <c r="AE77" s="89"/>
      <c r="AF77" s="89"/>
      <c r="AG77" s="89"/>
      <c r="AH77" s="89"/>
      <c r="AI77" s="89"/>
      <c r="AJ77" s="89"/>
      <c r="AK77" s="89"/>
      <c r="AL77" s="89"/>
      <c r="AM77" s="89"/>
      <c r="AN77" s="89"/>
      <c r="AO77" s="89"/>
    </row>
    <row r="78" spans="1:41" ht="15.75" customHeight="1">
      <c r="A78" s="3"/>
      <c r="B78" s="3"/>
      <c r="C78" s="3"/>
      <c r="D78" s="3"/>
      <c r="E78" s="3"/>
      <c r="F78" s="3"/>
      <c r="G78" s="3"/>
      <c r="H78" s="3"/>
      <c r="I78" s="3"/>
      <c r="J78" s="3"/>
      <c r="K78" s="3"/>
      <c r="L78" s="3"/>
      <c r="M78" s="3"/>
      <c r="N78" s="3"/>
      <c r="O78" s="3"/>
      <c r="P78" s="3"/>
      <c r="Q78" s="3"/>
      <c r="R78" s="3"/>
      <c r="S78" s="3"/>
      <c r="T78" s="3"/>
      <c r="U78" s="3"/>
      <c r="V78" s="3"/>
      <c r="W78" s="3"/>
      <c r="X78" s="89"/>
      <c r="Y78" s="89"/>
      <c r="Z78" s="89"/>
      <c r="AA78" s="89"/>
      <c r="AB78" s="89"/>
      <c r="AC78" s="89"/>
      <c r="AD78" s="89"/>
      <c r="AE78" s="89"/>
      <c r="AF78" s="89"/>
      <c r="AG78" s="89"/>
      <c r="AH78" s="89"/>
      <c r="AI78" s="89"/>
      <c r="AJ78" s="89"/>
      <c r="AK78" s="89"/>
      <c r="AL78" s="89"/>
      <c r="AM78" s="89"/>
      <c r="AN78" s="89"/>
      <c r="AO78" s="89"/>
    </row>
    <row r="79" spans="1:41" ht="15.75" customHeight="1">
      <c r="A79" s="3"/>
      <c r="B79" s="3"/>
      <c r="C79" s="3"/>
      <c r="D79" s="3"/>
      <c r="E79" s="3"/>
      <c r="F79" s="3"/>
      <c r="G79" s="3"/>
      <c r="H79" s="3"/>
      <c r="I79" s="3"/>
      <c r="J79" s="3"/>
      <c r="K79" s="3"/>
      <c r="L79" s="3"/>
      <c r="M79" s="3"/>
      <c r="N79" s="3"/>
      <c r="O79" s="3"/>
      <c r="P79" s="3"/>
      <c r="Q79" s="3"/>
      <c r="R79" s="3"/>
      <c r="S79" s="3"/>
      <c r="T79" s="3"/>
      <c r="U79" s="3"/>
      <c r="V79" s="3"/>
      <c r="W79" s="3"/>
      <c r="X79" s="89"/>
      <c r="Y79" s="89"/>
      <c r="Z79" s="89"/>
      <c r="AA79" s="89"/>
      <c r="AB79" s="89"/>
      <c r="AC79" s="89"/>
      <c r="AD79" s="89"/>
      <c r="AE79" s="89"/>
      <c r="AF79" s="89"/>
      <c r="AG79" s="89"/>
      <c r="AH79" s="89"/>
      <c r="AI79" s="89"/>
      <c r="AJ79" s="89"/>
      <c r="AK79" s="89"/>
      <c r="AL79" s="89"/>
      <c r="AM79" s="89"/>
      <c r="AN79" s="89"/>
      <c r="AO79" s="89"/>
    </row>
    <row r="80" spans="1:41" ht="15.75" customHeight="1">
      <c r="A80" s="3"/>
      <c r="B80" s="3"/>
      <c r="C80" s="3"/>
      <c r="D80" s="3"/>
      <c r="E80" s="3"/>
      <c r="F80" s="3"/>
      <c r="G80" s="3"/>
      <c r="H80" s="3"/>
      <c r="I80" s="3"/>
      <c r="J80" s="3"/>
      <c r="K80" s="3"/>
      <c r="L80" s="3"/>
      <c r="M80" s="3"/>
      <c r="N80" s="3"/>
      <c r="O80" s="3"/>
      <c r="P80" s="3"/>
      <c r="Q80" s="3"/>
      <c r="R80" s="3"/>
      <c r="S80" s="3"/>
      <c r="T80" s="3"/>
      <c r="U80" s="3"/>
      <c r="V80" s="3"/>
      <c r="W80" s="3"/>
      <c r="X80" s="89"/>
      <c r="Y80" s="89"/>
      <c r="Z80" s="89"/>
      <c r="AA80" s="89"/>
      <c r="AB80" s="89"/>
      <c r="AC80" s="89"/>
      <c r="AD80" s="89"/>
      <c r="AE80" s="89"/>
      <c r="AF80" s="89"/>
      <c r="AG80" s="89"/>
      <c r="AH80" s="89"/>
      <c r="AI80" s="89"/>
      <c r="AJ80" s="89"/>
      <c r="AK80" s="89"/>
      <c r="AL80" s="89"/>
      <c r="AM80" s="89"/>
      <c r="AN80" s="89"/>
      <c r="AO80" s="89"/>
    </row>
    <row r="81" spans="1:41" ht="15.75" customHeight="1">
      <c r="A81" s="3"/>
      <c r="B81" s="3"/>
      <c r="C81" s="3"/>
      <c r="D81" s="3"/>
      <c r="E81" s="3"/>
      <c r="F81" s="3"/>
      <c r="G81" s="3"/>
      <c r="H81" s="3"/>
      <c r="I81" s="3"/>
      <c r="J81" s="3"/>
      <c r="K81" s="3"/>
      <c r="L81" s="3"/>
      <c r="M81" s="3"/>
      <c r="N81" s="3"/>
      <c r="O81" s="3"/>
      <c r="P81" s="3"/>
      <c r="Q81" s="3"/>
      <c r="R81" s="3"/>
      <c r="S81" s="3"/>
      <c r="T81" s="3"/>
      <c r="U81" s="3"/>
      <c r="V81" s="3"/>
      <c r="W81" s="3"/>
      <c r="X81" s="89"/>
      <c r="Y81" s="89"/>
      <c r="Z81" s="89"/>
      <c r="AA81" s="89"/>
      <c r="AB81" s="89"/>
      <c r="AC81" s="89"/>
      <c r="AD81" s="89"/>
      <c r="AE81" s="89"/>
      <c r="AF81" s="89"/>
      <c r="AG81" s="89"/>
      <c r="AH81" s="89"/>
      <c r="AI81" s="89"/>
      <c r="AJ81" s="89"/>
      <c r="AK81" s="89"/>
      <c r="AL81" s="89"/>
      <c r="AM81" s="89"/>
      <c r="AN81" s="89"/>
      <c r="AO81" s="89"/>
    </row>
    <row r="82" spans="1:41" ht="15.75" customHeight="1">
      <c r="A82" s="3"/>
      <c r="B82" s="3"/>
      <c r="C82" s="3"/>
      <c r="D82" s="3"/>
      <c r="E82" s="3"/>
      <c r="F82" s="3"/>
      <c r="G82" s="3"/>
      <c r="H82" s="3"/>
      <c r="I82" s="3"/>
      <c r="J82" s="3"/>
      <c r="K82" s="3"/>
      <c r="L82" s="3"/>
      <c r="M82" s="3"/>
      <c r="N82" s="3"/>
      <c r="O82" s="3"/>
      <c r="P82" s="3"/>
      <c r="Q82" s="3"/>
      <c r="R82" s="3"/>
      <c r="S82" s="3"/>
      <c r="T82" s="3"/>
      <c r="U82" s="3"/>
      <c r="V82" s="3"/>
      <c r="W82" s="3"/>
      <c r="X82" s="89"/>
      <c r="Y82" s="89"/>
      <c r="Z82" s="89"/>
      <c r="AA82" s="89"/>
      <c r="AB82" s="89"/>
      <c r="AC82" s="89"/>
      <c r="AD82" s="89"/>
      <c r="AE82" s="89"/>
      <c r="AF82" s="89"/>
      <c r="AG82" s="89"/>
      <c r="AH82" s="89"/>
      <c r="AI82" s="89"/>
      <c r="AJ82" s="89"/>
      <c r="AK82" s="89"/>
      <c r="AL82" s="89"/>
      <c r="AM82" s="89"/>
      <c r="AN82" s="89"/>
      <c r="AO82" s="89"/>
    </row>
    <row r="83" spans="1:41" ht="15.75" customHeight="1">
      <c r="A83" s="3"/>
      <c r="B83" s="3"/>
      <c r="C83" s="3"/>
      <c r="D83" s="3"/>
      <c r="E83" s="3"/>
      <c r="F83" s="3"/>
      <c r="G83" s="3"/>
      <c r="H83" s="3"/>
      <c r="I83" s="3"/>
      <c r="J83" s="3"/>
      <c r="K83" s="3"/>
      <c r="L83" s="3"/>
      <c r="M83" s="3"/>
      <c r="N83" s="3"/>
      <c r="O83" s="3"/>
      <c r="P83" s="3"/>
      <c r="Q83" s="3"/>
      <c r="R83" s="3"/>
      <c r="S83" s="3"/>
      <c r="T83" s="3"/>
      <c r="U83" s="3"/>
      <c r="V83" s="3"/>
      <c r="W83" s="3"/>
      <c r="X83" s="89"/>
      <c r="Y83" s="89"/>
      <c r="Z83" s="89"/>
      <c r="AA83" s="89"/>
      <c r="AB83" s="89"/>
      <c r="AC83" s="89"/>
      <c r="AD83" s="89"/>
      <c r="AE83" s="89"/>
      <c r="AF83" s="89"/>
      <c r="AG83" s="89"/>
      <c r="AH83" s="89"/>
      <c r="AI83" s="89"/>
      <c r="AJ83" s="89"/>
      <c r="AK83" s="89"/>
      <c r="AL83" s="89"/>
      <c r="AM83" s="89"/>
      <c r="AN83" s="89"/>
      <c r="AO83" s="89"/>
    </row>
    <row r="84" spans="1:41" ht="15.75" customHeight="1">
      <c r="A84" s="3"/>
      <c r="B84" s="3"/>
      <c r="C84" s="3"/>
      <c r="D84" s="3"/>
      <c r="E84" s="3"/>
      <c r="F84" s="3"/>
      <c r="G84" s="3"/>
      <c r="H84" s="3"/>
      <c r="I84" s="3"/>
      <c r="J84" s="3"/>
      <c r="K84" s="3"/>
      <c r="L84" s="3"/>
      <c r="M84" s="3"/>
      <c r="N84" s="3"/>
      <c r="O84" s="3"/>
      <c r="P84" s="3"/>
      <c r="Q84" s="3"/>
      <c r="R84" s="3"/>
      <c r="S84" s="3"/>
      <c r="T84" s="3"/>
      <c r="U84" s="3"/>
      <c r="V84" s="3"/>
      <c r="W84" s="3"/>
      <c r="X84" s="89"/>
      <c r="Y84" s="89"/>
      <c r="Z84" s="89"/>
      <c r="AA84" s="89"/>
      <c r="AB84" s="89"/>
      <c r="AC84" s="89"/>
      <c r="AD84" s="89"/>
      <c r="AE84" s="89"/>
      <c r="AF84" s="89"/>
      <c r="AG84" s="89"/>
      <c r="AH84" s="89"/>
      <c r="AI84" s="89"/>
      <c r="AJ84" s="89"/>
      <c r="AK84" s="89"/>
      <c r="AL84" s="89"/>
      <c r="AM84" s="89"/>
      <c r="AN84" s="89"/>
      <c r="AO84" s="89"/>
    </row>
    <row r="85" spans="1:41" ht="15.75" customHeight="1">
      <c r="A85" s="3"/>
      <c r="B85" s="3"/>
      <c r="C85" s="3"/>
      <c r="D85" s="3"/>
      <c r="E85" s="3"/>
      <c r="F85" s="3"/>
      <c r="G85" s="3"/>
      <c r="H85" s="3"/>
      <c r="I85" s="3"/>
      <c r="J85" s="3"/>
      <c r="K85" s="3"/>
      <c r="L85" s="3"/>
      <c r="M85" s="3"/>
      <c r="N85" s="3"/>
      <c r="O85" s="3"/>
      <c r="P85" s="3"/>
      <c r="Q85" s="3"/>
      <c r="R85" s="3"/>
      <c r="S85" s="3"/>
      <c r="T85" s="3"/>
      <c r="U85" s="3"/>
      <c r="V85" s="3"/>
      <c r="W85" s="3"/>
      <c r="X85" s="89"/>
      <c r="Y85" s="89"/>
      <c r="Z85" s="89"/>
      <c r="AA85" s="89"/>
      <c r="AB85" s="89"/>
      <c r="AC85" s="89"/>
      <c r="AD85" s="89"/>
      <c r="AE85" s="89"/>
      <c r="AF85" s="89"/>
      <c r="AG85" s="89"/>
      <c r="AH85" s="89"/>
      <c r="AI85" s="89"/>
      <c r="AJ85" s="89"/>
      <c r="AK85" s="89"/>
      <c r="AL85" s="89"/>
      <c r="AM85" s="89"/>
      <c r="AN85" s="89"/>
      <c r="AO85" s="89"/>
    </row>
    <row r="86" spans="1:41" ht="15.75" customHeight="1">
      <c r="A86" s="3"/>
      <c r="B86" s="3"/>
      <c r="C86" s="3"/>
      <c r="D86" s="3"/>
      <c r="E86" s="3"/>
      <c r="F86" s="3"/>
      <c r="G86" s="3"/>
      <c r="H86" s="3"/>
      <c r="I86" s="3"/>
      <c r="J86" s="3"/>
      <c r="K86" s="3"/>
      <c r="L86" s="3"/>
      <c r="M86" s="3"/>
      <c r="N86" s="3"/>
      <c r="O86" s="3"/>
      <c r="P86" s="3"/>
      <c r="Q86" s="3"/>
      <c r="R86" s="3"/>
      <c r="S86" s="3"/>
      <c r="T86" s="3"/>
      <c r="U86" s="3"/>
      <c r="V86" s="3"/>
      <c r="W86" s="3"/>
      <c r="X86" s="89"/>
      <c r="Y86" s="89"/>
      <c r="Z86" s="89"/>
      <c r="AA86" s="89"/>
      <c r="AB86" s="89"/>
      <c r="AC86" s="89"/>
      <c r="AD86" s="89"/>
      <c r="AE86" s="89"/>
      <c r="AF86" s="89"/>
      <c r="AG86" s="89"/>
      <c r="AH86" s="89"/>
      <c r="AI86" s="89"/>
      <c r="AJ86" s="89"/>
      <c r="AK86" s="89"/>
      <c r="AL86" s="89"/>
      <c r="AM86" s="89"/>
      <c r="AN86" s="89"/>
      <c r="AO86" s="89"/>
    </row>
    <row r="87" spans="1:41" ht="15.75" customHeight="1">
      <c r="A87" s="3"/>
      <c r="B87" s="3"/>
      <c r="C87" s="3"/>
      <c r="D87" s="3"/>
      <c r="E87" s="3"/>
      <c r="F87" s="3"/>
      <c r="G87" s="3"/>
      <c r="H87" s="3"/>
      <c r="I87" s="3"/>
      <c r="J87" s="3"/>
      <c r="K87" s="3"/>
      <c r="L87" s="3"/>
      <c r="M87" s="3"/>
      <c r="N87" s="3"/>
      <c r="O87" s="3"/>
      <c r="P87" s="3"/>
      <c r="Q87" s="3"/>
      <c r="R87" s="3"/>
      <c r="S87" s="3"/>
      <c r="T87" s="3"/>
      <c r="U87" s="3"/>
      <c r="V87" s="3"/>
      <c r="W87" s="3"/>
      <c r="X87" s="89"/>
      <c r="Y87" s="89"/>
      <c r="Z87" s="89"/>
      <c r="AA87" s="89"/>
      <c r="AB87" s="89"/>
      <c r="AC87" s="89"/>
      <c r="AD87" s="89"/>
      <c r="AE87" s="89"/>
      <c r="AF87" s="89"/>
      <c r="AG87" s="89"/>
      <c r="AH87" s="89"/>
      <c r="AI87" s="89"/>
      <c r="AJ87" s="89"/>
      <c r="AK87" s="89"/>
      <c r="AL87" s="89"/>
      <c r="AM87" s="89"/>
      <c r="AN87" s="89"/>
      <c r="AO87" s="89"/>
    </row>
    <row r="88" spans="1:41" ht="15.75" customHeight="1">
      <c r="A88" s="3"/>
      <c r="B88" s="3"/>
      <c r="C88" s="3"/>
      <c r="D88" s="3"/>
      <c r="E88" s="3"/>
      <c r="F88" s="3"/>
      <c r="G88" s="3"/>
      <c r="H88" s="3"/>
      <c r="I88" s="3"/>
      <c r="J88" s="3"/>
      <c r="K88" s="3"/>
      <c r="L88" s="3"/>
      <c r="M88" s="3"/>
      <c r="N88" s="3"/>
      <c r="O88" s="3"/>
      <c r="P88" s="3"/>
      <c r="Q88" s="3"/>
      <c r="R88" s="3"/>
      <c r="S88" s="3"/>
      <c r="T88" s="3"/>
      <c r="U88" s="3"/>
      <c r="V88" s="3"/>
      <c r="W88" s="3"/>
      <c r="X88" s="89"/>
      <c r="Y88" s="89"/>
      <c r="Z88" s="89"/>
      <c r="AA88" s="89"/>
      <c r="AB88" s="89"/>
      <c r="AC88" s="89"/>
      <c r="AD88" s="89"/>
      <c r="AE88" s="89"/>
      <c r="AF88" s="89"/>
      <c r="AG88" s="89"/>
      <c r="AH88" s="89"/>
      <c r="AI88" s="89"/>
      <c r="AJ88" s="89"/>
      <c r="AK88" s="89"/>
      <c r="AL88" s="89"/>
      <c r="AM88" s="89"/>
      <c r="AN88" s="89"/>
      <c r="AO88" s="89"/>
    </row>
    <row r="89" spans="1:41" ht="15.75" customHeight="1">
      <c r="A89" s="3"/>
      <c r="B89" s="3"/>
      <c r="C89" s="3"/>
      <c r="D89" s="3"/>
      <c r="E89" s="3"/>
      <c r="F89" s="3"/>
      <c r="G89" s="3"/>
      <c r="H89" s="3"/>
      <c r="I89" s="3"/>
      <c r="J89" s="3"/>
      <c r="K89" s="3"/>
      <c r="L89" s="3"/>
      <c r="M89" s="3"/>
      <c r="N89" s="3"/>
      <c r="O89" s="3"/>
      <c r="P89" s="3"/>
      <c r="Q89" s="3"/>
      <c r="R89" s="3"/>
      <c r="S89" s="3"/>
      <c r="T89" s="3"/>
      <c r="U89" s="3"/>
      <c r="V89" s="3"/>
      <c r="W89" s="3"/>
      <c r="X89" s="89"/>
      <c r="Y89" s="89"/>
      <c r="Z89" s="89"/>
      <c r="AA89" s="89"/>
      <c r="AB89" s="89"/>
      <c r="AC89" s="89"/>
      <c r="AD89" s="89"/>
      <c r="AE89" s="89"/>
      <c r="AF89" s="89"/>
      <c r="AG89" s="89"/>
      <c r="AH89" s="89"/>
      <c r="AI89" s="89"/>
      <c r="AJ89" s="89"/>
      <c r="AK89" s="89"/>
      <c r="AL89" s="89"/>
      <c r="AM89" s="89"/>
      <c r="AN89" s="89"/>
      <c r="AO89" s="89"/>
    </row>
    <row r="90" spans="1:41" ht="15.75" customHeight="1">
      <c r="A90" s="3"/>
      <c r="B90" s="3"/>
      <c r="C90" s="3"/>
      <c r="D90" s="3"/>
      <c r="E90" s="3"/>
      <c r="F90" s="3"/>
      <c r="G90" s="3"/>
      <c r="H90" s="3"/>
      <c r="I90" s="3"/>
      <c r="J90" s="3"/>
      <c r="K90" s="3"/>
      <c r="L90" s="3"/>
      <c r="M90" s="3"/>
      <c r="N90" s="3"/>
      <c r="O90" s="3"/>
      <c r="P90" s="3"/>
      <c r="Q90" s="3"/>
      <c r="R90" s="3"/>
      <c r="S90" s="3"/>
      <c r="T90" s="3"/>
      <c r="U90" s="3"/>
      <c r="V90" s="3"/>
      <c r="W90" s="3"/>
      <c r="X90" s="89"/>
      <c r="Y90" s="89"/>
      <c r="Z90" s="89"/>
      <c r="AA90" s="89"/>
      <c r="AB90" s="89"/>
      <c r="AC90" s="89"/>
      <c r="AD90" s="89"/>
      <c r="AE90" s="89"/>
      <c r="AF90" s="89"/>
      <c r="AG90" s="89"/>
      <c r="AH90" s="89"/>
      <c r="AI90" s="89"/>
      <c r="AJ90" s="89"/>
      <c r="AK90" s="89"/>
      <c r="AL90" s="89"/>
      <c r="AM90" s="89"/>
      <c r="AN90" s="89"/>
      <c r="AO90" s="89"/>
    </row>
    <row r="91" spans="1:41" ht="15.75" customHeight="1">
      <c r="A91" s="3"/>
      <c r="B91" s="3"/>
      <c r="C91" s="3"/>
      <c r="D91" s="3"/>
      <c r="E91" s="3"/>
      <c r="F91" s="3"/>
      <c r="G91" s="3"/>
      <c r="H91" s="3"/>
      <c r="I91" s="3"/>
      <c r="J91" s="3"/>
      <c r="K91" s="3"/>
      <c r="L91" s="3"/>
      <c r="M91" s="3"/>
      <c r="N91" s="3"/>
      <c r="O91" s="3"/>
      <c r="P91" s="3"/>
      <c r="Q91" s="3"/>
      <c r="R91" s="3"/>
      <c r="S91" s="3"/>
      <c r="T91" s="3"/>
      <c r="U91" s="3"/>
      <c r="V91" s="3"/>
      <c r="W91" s="3"/>
      <c r="X91" s="89"/>
      <c r="Y91" s="89"/>
      <c r="Z91" s="89"/>
      <c r="AA91" s="89"/>
      <c r="AB91" s="89"/>
      <c r="AC91" s="89"/>
      <c r="AD91" s="89"/>
      <c r="AE91" s="89"/>
      <c r="AF91" s="89"/>
      <c r="AG91" s="89"/>
      <c r="AH91" s="89"/>
      <c r="AI91" s="89"/>
      <c r="AJ91" s="89"/>
      <c r="AK91" s="89"/>
      <c r="AL91" s="89"/>
      <c r="AM91" s="89"/>
      <c r="AN91" s="89"/>
      <c r="AO91" s="89"/>
    </row>
    <row r="92" spans="1:41" ht="15.75" customHeight="1">
      <c r="A92" s="3"/>
      <c r="B92" s="3"/>
      <c r="C92" s="3"/>
      <c r="D92" s="3"/>
      <c r="E92" s="3"/>
      <c r="F92" s="3"/>
      <c r="G92" s="3"/>
      <c r="H92" s="3"/>
      <c r="I92" s="3"/>
      <c r="J92" s="3"/>
      <c r="K92" s="3"/>
      <c r="L92" s="3"/>
      <c r="M92" s="3"/>
      <c r="N92" s="3"/>
      <c r="O92" s="3"/>
      <c r="P92" s="3"/>
      <c r="Q92" s="3"/>
      <c r="R92" s="3"/>
      <c r="S92" s="3"/>
      <c r="T92" s="3"/>
      <c r="U92" s="3"/>
      <c r="V92" s="3"/>
      <c r="W92" s="3"/>
      <c r="X92" s="89"/>
      <c r="Y92" s="89"/>
      <c r="Z92" s="89"/>
      <c r="AA92" s="89"/>
      <c r="AB92" s="89"/>
      <c r="AC92" s="89"/>
      <c r="AD92" s="89"/>
      <c r="AE92" s="89"/>
      <c r="AF92" s="89"/>
      <c r="AG92" s="89"/>
      <c r="AH92" s="89"/>
      <c r="AI92" s="89"/>
      <c r="AJ92" s="89"/>
      <c r="AK92" s="89"/>
      <c r="AL92" s="89"/>
      <c r="AM92" s="89"/>
      <c r="AN92" s="89"/>
      <c r="AO92" s="89"/>
    </row>
    <row r="93" spans="1:41" ht="15.75" customHeight="1">
      <c r="A93" s="3"/>
      <c r="B93" s="3"/>
      <c r="C93" s="3"/>
      <c r="D93" s="3"/>
      <c r="E93" s="3"/>
      <c r="F93" s="3"/>
      <c r="G93" s="3"/>
      <c r="H93" s="3"/>
      <c r="I93" s="3"/>
      <c r="J93" s="3"/>
      <c r="K93" s="3"/>
      <c r="L93" s="3"/>
      <c r="M93" s="3"/>
      <c r="N93" s="3"/>
      <c r="O93" s="3"/>
      <c r="P93" s="3"/>
      <c r="Q93" s="3"/>
      <c r="R93" s="3"/>
      <c r="S93" s="3"/>
      <c r="T93" s="3"/>
      <c r="U93" s="3"/>
      <c r="V93" s="3"/>
      <c r="W93" s="3"/>
      <c r="X93" s="89"/>
      <c r="Y93" s="89"/>
      <c r="Z93" s="89"/>
      <c r="AA93" s="89"/>
      <c r="AB93" s="89"/>
      <c r="AC93" s="89"/>
      <c r="AD93" s="89"/>
      <c r="AE93" s="89"/>
      <c r="AF93" s="89"/>
      <c r="AG93" s="89"/>
      <c r="AH93" s="89"/>
      <c r="AI93" s="89"/>
      <c r="AJ93" s="89"/>
      <c r="AK93" s="89"/>
      <c r="AL93" s="89"/>
      <c r="AM93" s="89"/>
      <c r="AN93" s="89"/>
      <c r="AO93" s="89"/>
    </row>
    <row r="94" spans="1:41" ht="15.75" customHeight="1">
      <c r="A94" s="3"/>
      <c r="B94" s="3"/>
      <c r="C94" s="3"/>
      <c r="D94" s="3"/>
      <c r="E94" s="3"/>
      <c r="F94" s="3"/>
      <c r="G94" s="3"/>
      <c r="H94" s="3"/>
      <c r="I94" s="3"/>
      <c r="J94" s="3"/>
      <c r="K94" s="3"/>
      <c r="L94" s="3"/>
      <c r="M94" s="3"/>
      <c r="N94" s="3"/>
      <c r="O94" s="3"/>
      <c r="P94" s="3"/>
      <c r="Q94" s="3"/>
      <c r="R94" s="3"/>
      <c r="S94" s="3"/>
      <c r="T94" s="3"/>
      <c r="U94" s="3"/>
      <c r="V94" s="3"/>
      <c r="W94" s="3"/>
      <c r="X94" s="89"/>
      <c r="Y94" s="89"/>
      <c r="Z94" s="89"/>
      <c r="AA94" s="89"/>
      <c r="AB94" s="89"/>
      <c r="AC94" s="89"/>
      <c r="AD94" s="89"/>
      <c r="AE94" s="89"/>
      <c r="AF94" s="89"/>
      <c r="AG94" s="89"/>
      <c r="AH94" s="89"/>
      <c r="AI94" s="89"/>
      <c r="AJ94" s="89"/>
      <c r="AK94" s="89"/>
      <c r="AL94" s="89"/>
      <c r="AM94" s="89"/>
      <c r="AN94" s="89"/>
      <c r="AO94" s="89"/>
    </row>
    <row r="95" spans="1:41" ht="15.75" customHeight="1">
      <c r="A95" s="3"/>
      <c r="B95" s="3"/>
      <c r="C95" s="3"/>
      <c r="D95" s="3"/>
      <c r="E95" s="3"/>
      <c r="F95" s="3"/>
      <c r="G95" s="3"/>
      <c r="H95" s="3"/>
      <c r="I95" s="3"/>
      <c r="J95" s="3"/>
      <c r="K95" s="3"/>
      <c r="L95" s="3"/>
      <c r="M95" s="3"/>
      <c r="N95" s="3"/>
      <c r="O95" s="3"/>
      <c r="P95" s="3"/>
      <c r="Q95" s="3"/>
      <c r="R95" s="3"/>
      <c r="S95" s="3"/>
      <c r="T95" s="3"/>
      <c r="U95" s="3"/>
      <c r="V95" s="3"/>
      <c r="W95" s="3"/>
      <c r="X95" s="89"/>
      <c r="Y95" s="89"/>
      <c r="Z95" s="89"/>
      <c r="AA95" s="89"/>
      <c r="AB95" s="89"/>
      <c r="AC95" s="89"/>
      <c r="AD95" s="89"/>
      <c r="AE95" s="89"/>
      <c r="AF95" s="89"/>
      <c r="AG95" s="89"/>
      <c r="AH95" s="89"/>
      <c r="AI95" s="89"/>
      <c r="AJ95" s="89"/>
      <c r="AK95" s="89"/>
      <c r="AL95" s="89"/>
      <c r="AM95" s="89"/>
      <c r="AN95" s="89"/>
      <c r="AO95" s="89"/>
    </row>
    <row r="96" spans="1:41" ht="15.75" customHeight="1">
      <c r="A96" s="3"/>
      <c r="B96" s="3"/>
      <c r="C96" s="3"/>
      <c r="D96" s="3"/>
      <c r="E96" s="3"/>
      <c r="F96" s="3"/>
      <c r="G96" s="3"/>
      <c r="H96" s="3"/>
      <c r="I96" s="3"/>
      <c r="J96" s="3"/>
      <c r="K96" s="3"/>
      <c r="L96" s="3"/>
      <c r="M96" s="3"/>
      <c r="N96" s="3"/>
      <c r="O96" s="3"/>
      <c r="P96" s="3"/>
      <c r="Q96" s="3"/>
      <c r="R96" s="3"/>
      <c r="S96" s="3"/>
      <c r="T96" s="3"/>
      <c r="U96" s="3"/>
      <c r="V96" s="3"/>
      <c r="W96" s="3"/>
      <c r="X96" s="89"/>
      <c r="Y96" s="89"/>
      <c r="Z96" s="89"/>
      <c r="AA96" s="89"/>
      <c r="AB96" s="89"/>
      <c r="AC96" s="89"/>
      <c r="AD96" s="89"/>
      <c r="AE96" s="89"/>
      <c r="AF96" s="89"/>
      <c r="AG96" s="89"/>
      <c r="AH96" s="89"/>
      <c r="AI96" s="89"/>
      <c r="AJ96" s="89"/>
      <c r="AK96" s="89"/>
      <c r="AL96" s="89"/>
      <c r="AM96" s="89"/>
      <c r="AN96" s="89"/>
      <c r="AO96" s="89"/>
    </row>
    <row r="97" spans="1:41" ht="15.75" customHeight="1">
      <c r="A97" s="3"/>
      <c r="B97" s="3"/>
      <c r="C97" s="3"/>
      <c r="D97" s="3"/>
      <c r="E97" s="3"/>
      <c r="F97" s="3"/>
      <c r="G97" s="3"/>
      <c r="H97" s="3"/>
      <c r="I97" s="3"/>
      <c r="J97" s="3"/>
      <c r="K97" s="3"/>
      <c r="L97" s="3"/>
      <c r="M97" s="3"/>
      <c r="N97" s="3"/>
      <c r="O97" s="3"/>
      <c r="P97" s="3"/>
      <c r="Q97" s="3"/>
      <c r="R97" s="3"/>
      <c r="S97" s="3"/>
      <c r="T97" s="3"/>
      <c r="U97" s="3"/>
      <c r="V97" s="3"/>
      <c r="W97" s="3"/>
      <c r="X97" s="89"/>
      <c r="Y97" s="89"/>
      <c r="Z97" s="89"/>
      <c r="AA97" s="89"/>
      <c r="AB97" s="89"/>
      <c r="AC97" s="89"/>
      <c r="AD97" s="89"/>
      <c r="AE97" s="89"/>
      <c r="AF97" s="89"/>
      <c r="AG97" s="89"/>
      <c r="AH97" s="89"/>
      <c r="AI97" s="89"/>
      <c r="AJ97" s="89"/>
      <c r="AK97" s="89"/>
      <c r="AL97" s="89"/>
      <c r="AM97" s="89"/>
      <c r="AN97" s="89"/>
      <c r="AO97" s="89"/>
    </row>
    <row r="98" spans="1:41" ht="15.75" customHeight="1">
      <c r="A98" s="3"/>
      <c r="B98" s="3"/>
      <c r="C98" s="3"/>
      <c r="D98" s="3"/>
      <c r="E98" s="3"/>
      <c r="F98" s="3"/>
      <c r="G98" s="3"/>
      <c r="H98" s="3"/>
      <c r="I98" s="3"/>
      <c r="J98" s="3"/>
      <c r="K98" s="3"/>
      <c r="L98" s="3"/>
      <c r="M98" s="3"/>
      <c r="N98" s="3"/>
      <c r="O98" s="3"/>
      <c r="P98" s="3"/>
      <c r="Q98" s="3"/>
      <c r="R98" s="3"/>
      <c r="S98" s="3"/>
      <c r="T98" s="3"/>
      <c r="U98" s="3"/>
      <c r="V98" s="3"/>
      <c r="W98" s="3"/>
      <c r="X98" s="89"/>
      <c r="Y98" s="89"/>
      <c r="Z98" s="89"/>
      <c r="AA98" s="89"/>
      <c r="AB98" s="89"/>
      <c r="AC98" s="89"/>
      <c r="AD98" s="89"/>
      <c r="AE98" s="89"/>
      <c r="AF98" s="89"/>
      <c r="AG98" s="89"/>
      <c r="AH98" s="89"/>
      <c r="AI98" s="89"/>
      <c r="AJ98" s="89"/>
      <c r="AK98" s="89"/>
      <c r="AL98" s="89"/>
      <c r="AM98" s="89"/>
      <c r="AN98" s="89"/>
      <c r="AO98" s="89"/>
    </row>
    <row r="99" spans="1:41" ht="15.75" customHeight="1">
      <c r="A99" s="3"/>
      <c r="B99" s="3"/>
      <c r="C99" s="3"/>
      <c r="D99" s="3"/>
      <c r="E99" s="3"/>
      <c r="F99" s="3"/>
      <c r="G99" s="3"/>
      <c r="H99" s="3"/>
      <c r="I99" s="3"/>
      <c r="J99" s="3"/>
      <c r="K99" s="3"/>
      <c r="L99" s="3"/>
      <c r="M99" s="3"/>
      <c r="N99" s="3"/>
      <c r="O99" s="3"/>
      <c r="P99" s="3"/>
      <c r="Q99" s="3"/>
      <c r="R99" s="3"/>
      <c r="S99" s="3"/>
      <c r="T99" s="3"/>
      <c r="U99" s="3"/>
      <c r="V99" s="3"/>
      <c r="W99" s="3"/>
      <c r="X99" s="89"/>
      <c r="Y99" s="89"/>
      <c r="Z99" s="89"/>
      <c r="AA99" s="89"/>
      <c r="AB99" s="89"/>
      <c r="AC99" s="89"/>
      <c r="AD99" s="89"/>
      <c r="AE99" s="89"/>
      <c r="AF99" s="89"/>
      <c r="AG99" s="89"/>
      <c r="AH99" s="89"/>
      <c r="AI99" s="89"/>
      <c r="AJ99" s="89"/>
      <c r="AK99" s="89"/>
      <c r="AL99" s="89"/>
      <c r="AM99" s="89"/>
      <c r="AN99" s="89"/>
      <c r="AO99" s="89"/>
    </row>
    <row r="100" spans="1:41"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89"/>
      <c r="Y100" s="89"/>
      <c r="Z100" s="89"/>
      <c r="AA100" s="89"/>
      <c r="AB100" s="89"/>
      <c r="AC100" s="89"/>
      <c r="AD100" s="89"/>
      <c r="AE100" s="89"/>
      <c r="AF100" s="89"/>
      <c r="AG100" s="89"/>
      <c r="AH100" s="89"/>
      <c r="AI100" s="89"/>
      <c r="AJ100" s="89"/>
      <c r="AK100" s="89"/>
      <c r="AL100" s="89"/>
      <c r="AM100" s="89"/>
      <c r="AN100" s="89"/>
      <c r="AO100" s="89"/>
    </row>
    <row r="101" spans="1:41"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89"/>
      <c r="Y101" s="89"/>
      <c r="Z101" s="89"/>
      <c r="AA101" s="89"/>
      <c r="AB101" s="89"/>
      <c r="AC101" s="89"/>
      <c r="AD101" s="89"/>
      <c r="AE101" s="89"/>
      <c r="AF101" s="89"/>
      <c r="AG101" s="89"/>
      <c r="AH101" s="89"/>
      <c r="AI101" s="89"/>
      <c r="AJ101" s="89"/>
      <c r="AK101" s="89"/>
      <c r="AL101" s="89"/>
      <c r="AM101" s="89"/>
      <c r="AN101" s="89"/>
      <c r="AO101" s="89"/>
    </row>
    <row r="102" spans="1:41"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89"/>
      <c r="Y102" s="89"/>
      <c r="Z102" s="89"/>
      <c r="AA102" s="89"/>
      <c r="AB102" s="89"/>
      <c r="AC102" s="89"/>
      <c r="AD102" s="89"/>
      <c r="AE102" s="89"/>
      <c r="AF102" s="89"/>
      <c r="AG102" s="89"/>
      <c r="AH102" s="89"/>
      <c r="AI102" s="89"/>
      <c r="AJ102" s="89"/>
      <c r="AK102" s="89"/>
      <c r="AL102" s="89"/>
      <c r="AM102" s="89"/>
      <c r="AN102" s="89"/>
      <c r="AO102" s="89"/>
    </row>
    <row r="103" spans="1:41"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89"/>
      <c r="Y103" s="89"/>
      <c r="Z103" s="89"/>
      <c r="AA103" s="89"/>
      <c r="AB103" s="89"/>
      <c r="AC103" s="89"/>
      <c r="AD103" s="89"/>
      <c r="AE103" s="89"/>
      <c r="AF103" s="89"/>
      <c r="AG103" s="89"/>
      <c r="AH103" s="89"/>
      <c r="AI103" s="89"/>
      <c r="AJ103" s="89"/>
      <c r="AK103" s="89"/>
      <c r="AL103" s="89"/>
      <c r="AM103" s="89"/>
      <c r="AN103" s="89"/>
      <c r="AO103" s="89"/>
    </row>
    <row r="104" spans="1:41"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89"/>
      <c r="Y104" s="89"/>
      <c r="Z104" s="89"/>
      <c r="AA104" s="89"/>
      <c r="AB104" s="89"/>
      <c r="AC104" s="89"/>
      <c r="AD104" s="89"/>
      <c r="AE104" s="89"/>
      <c r="AF104" s="89"/>
      <c r="AG104" s="89"/>
      <c r="AH104" s="89"/>
      <c r="AI104" s="89"/>
      <c r="AJ104" s="89"/>
      <c r="AK104" s="89"/>
      <c r="AL104" s="89"/>
      <c r="AM104" s="89"/>
      <c r="AN104" s="89"/>
      <c r="AO104" s="89"/>
    </row>
    <row r="105" spans="1:41"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89"/>
      <c r="Y105" s="89"/>
      <c r="Z105" s="89"/>
      <c r="AA105" s="89"/>
      <c r="AB105" s="89"/>
      <c r="AC105" s="89"/>
      <c r="AD105" s="89"/>
      <c r="AE105" s="89"/>
      <c r="AF105" s="89"/>
      <c r="AG105" s="89"/>
      <c r="AH105" s="89"/>
      <c r="AI105" s="89"/>
      <c r="AJ105" s="89"/>
      <c r="AK105" s="89"/>
      <c r="AL105" s="89"/>
      <c r="AM105" s="89"/>
      <c r="AN105" s="89"/>
      <c r="AO105" s="89"/>
    </row>
    <row r="106" spans="1:41"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89"/>
      <c r="Y106" s="89"/>
      <c r="Z106" s="89"/>
      <c r="AA106" s="89"/>
      <c r="AB106" s="89"/>
      <c r="AC106" s="89"/>
      <c r="AD106" s="89"/>
      <c r="AE106" s="89"/>
      <c r="AF106" s="89"/>
      <c r="AG106" s="89"/>
      <c r="AH106" s="89"/>
      <c r="AI106" s="89"/>
      <c r="AJ106" s="89"/>
      <c r="AK106" s="89"/>
      <c r="AL106" s="89"/>
      <c r="AM106" s="89"/>
      <c r="AN106" s="89"/>
      <c r="AO106" s="89"/>
    </row>
    <row r="107" spans="1:41"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89"/>
      <c r="Y107" s="89"/>
      <c r="Z107" s="89"/>
      <c r="AA107" s="89"/>
      <c r="AB107" s="89"/>
      <c r="AC107" s="89"/>
      <c r="AD107" s="89"/>
      <c r="AE107" s="89"/>
      <c r="AF107" s="89"/>
      <c r="AG107" s="89"/>
      <c r="AH107" s="89"/>
      <c r="AI107" s="89"/>
      <c r="AJ107" s="89"/>
      <c r="AK107" s="89"/>
      <c r="AL107" s="89"/>
      <c r="AM107" s="89"/>
      <c r="AN107" s="89"/>
      <c r="AO107" s="89"/>
    </row>
    <row r="108" spans="1:41"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89"/>
      <c r="Y108" s="89"/>
      <c r="Z108" s="89"/>
      <c r="AA108" s="89"/>
      <c r="AB108" s="89"/>
      <c r="AC108" s="89"/>
      <c r="AD108" s="89"/>
      <c r="AE108" s="89"/>
      <c r="AF108" s="89"/>
      <c r="AG108" s="89"/>
      <c r="AH108" s="89"/>
      <c r="AI108" s="89"/>
      <c r="AJ108" s="89"/>
      <c r="AK108" s="89"/>
      <c r="AL108" s="89"/>
      <c r="AM108" s="89"/>
      <c r="AN108" s="89"/>
      <c r="AO108" s="89"/>
    </row>
    <row r="109" spans="1:41"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89"/>
      <c r="Y109" s="89"/>
      <c r="Z109" s="89"/>
      <c r="AA109" s="89"/>
      <c r="AB109" s="89"/>
      <c r="AC109" s="89"/>
      <c r="AD109" s="89"/>
      <c r="AE109" s="89"/>
      <c r="AF109" s="89"/>
      <c r="AG109" s="89"/>
      <c r="AH109" s="89"/>
      <c r="AI109" s="89"/>
      <c r="AJ109" s="89"/>
      <c r="AK109" s="89"/>
      <c r="AL109" s="89"/>
      <c r="AM109" s="89"/>
      <c r="AN109" s="89"/>
      <c r="AO109" s="89"/>
    </row>
    <row r="110" spans="1:41"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89"/>
      <c r="Y110" s="89"/>
      <c r="Z110" s="89"/>
      <c r="AA110" s="89"/>
      <c r="AB110" s="89"/>
      <c r="AC110" s="89"/>
      <c r="AD110" s="89"/>
      <c r="AE110" s="89"/>
      <c r="AF110" s="89"/>
      <c r="AG110" s="89"/>
      <c r="AH110" s="89"/>
      <c r="AI110" s="89"/>
      <c r="AJ110" s="89"/>
      <c r="AK110" s="89"/>
      <c r="AL110" s="89"/>
      <c r="AM110" s="89"/>
      <c r="AN110" s="89"/>
      <c r="AO110" s="89"/>
    </row>
    <row r="111" spans="1:41"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89"/>
      <c r="Y111" s="89"/>
      <c r="Z111" s="89"/>
      <c r="AA111" s="89"/>
      <c r="AB111" s="89"/>
      <c r="AC111" s="89"/>
      <c r="AD111" s="89"/>
      <c r="AE111" s="89"/>
      <c r="AF111" s="89"/>
      <c r="AG111" s="89"/>
      <c r="AH111" s="89"/>
      <c r="AI111" s="89"/>
      <c r="AJ111" s="89"/>
      <c r="AK111" s="89"/>
      <c r="AL111" s="89"/>
      <c r="AM111" s="89"/>
      <c r="AN111" s="89"/>
      <c r="AO111" s="89"/>
    </row>
    <row r="112" spans="1:41"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89"/>
      <c r="Y112" s="89"/>
      <c r="Z112" s="89"/>
      <c r="AA112" s="89"/>
      <c r="AB112" s="89"/>
      <c r="AC112" s="89"/>
      <c r="AD112" s="89"/>
      <c r="AE112" s="89"/>
      <c r="AF112" s="89"/>
      <c r="AG112" s="89"/>
      <c r="AH112" s="89"/>
      <c r="AI112" s="89"/>
      <c r="AJ112" s="89"/>
      <c r="AK112" s="89"/>
      <c r="AL112" s="89"/>
      <c r="AM112" s="89"/>
      <c r="AN112" s="89"/>
      <c r="AO112" s="89"/>
    </row>
    <row r="113" spans="1:41"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89"/>
      <c r="Y113" s="89"/>
      <c r="Z113" s="89"/>
      <c r="AA113" s="89"/>
      <c r="AB113" s="89"/>
      <c r="AC113" s="89"/>
      <c r="AD113" s="89"/>
      <c r="AE113" s="89"/>
      <c r="AF113" s="89"/>
      <c r="AG113" s="89"/>
      <c r="AH113" s="89"/>
      <c r="AI113" s="89"/>
      <c r="AJ113" s="89"/>
      <c r="AK113" s="89"/>
      <c r="AL113" s="89"/>
      <c r="AM113" s="89"/>
      <c r="AN113" s="89"/>
      <c r="AO113" s="89"/>
    </row>
    <row r="114" spans="1:41"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89"/>
      <c r="Y114" s="89"/>
      <c r="Z114" s="89"/>
      <c r="AA114" s="89"/>
      <c r="AB114" s="89"/>
      <c r="AC114" s="89"/>
      <c r="AD114" s="89"/>
      <c r="AE114" s="89"/>
      <c r="AF114" s="89"/>
      <c r="AG114" s="89"/>
      <c r="AH114" s="89"/>
      <c r="AI114" s="89"/>
      <c r="AJ114" s="89"/>
      <c r="AK114" s="89"/>
      <c r="AL114" s="89"/>
      <c r="AM114" s="89"/>
      <c r="AN114" s="89"/>
      <c r="AO114" s="89"/>
    </row>
    <row r="115" spans="1:41"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89"/>
      <c r="Y115" s="89"/>
      <c r="Z115" s="89"/>
      <c r="AA115" s="89"/>
      <c r="AB115" s="89"/>
      <c r="AC115" s="89"/>
      <c r="AD115" s="89"/>
      <c r="AE115" s="89"/>
      <c r="AF115" s="89"/>
      <c r="AG115" s="89"/>
      <c r="AH115" s="89"/>
      <c r="AI115" s="89"/>
      <c r="AJ115" s="89"/>
      <c r="AK115" s="89"/>
      <c r="AL115" s="89"/>
      <c r="AM115" s="89"/>
      <c r="AN115" s="89"/>
      <c r="AO115" s="89"/>
    </row>
    <row r="116" spans="1:41"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89"/>
      <c r="Y116" s="89"/>
      <c r="Z116" s="89"/>
      <c r="AA116" s="89"/>
      <c r="AB116" s="89"/>
      <c r="AC116" s="89"/>
      <c r="AD116" s="89"/>
      <c r="AE116" s="89"/>
      <c r="AF116" s="89"/>
      <c r="AG116" s="89"/>
      <c r="AH116" s="89"/>
      <c r="AI116" s="89"/>
      <c r="AJ116" s="89"/>
      <c r="AK116" s="89"/>
      <c r="AL116" s="89"/>
      <c r="AM116" s="89"/>
      <c r="AN116" s="89"/>
      <c r="AO116" s="89"/>
    </row>
    <row r="117" spans="1:41"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89"/>
      <c r="Y117" s="89"/>
      <c r="Z117" s="89"/>
      <c r="AA117" s="89"/>
      <c r="AB117" s="89"/>
      <c r="AC117" s="89"/>
      <c r="AD117" s="89"/>
      <c r="AE117" s="89"/>
      <c r="AF117" s="89"/>
      <c r="AG117" s="89"/>
      <c r="AH117" s="89"/>
      <c r="AI117" s="89"/>
      <c r="AJ117" s="89"/>
      <c r="AK117" s="89"/>
      <c r="AL117" s="89"/>
      <c r="AM117" s="89"/>
      <c r="AN117" s="89"/>
      <c r="AO117" s="89"/>
    </row>
    <row r="118" spans="1:41"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89"/>
      <c r="Y118" s="89"/>
      <c r="Z118" s="89"/>
      <c r="AA118" s="89"/>
      <c r="AB118" s="89"/>
      <c r="AC118" s="89"/>
      <c r="AD118" s="89"/>
      <c r="AE118" s="89"/>
      <c r="AF118" s="89"/>
      <c r="AG118" s="89"/>
      <c r="AH118" s="89"/>
      <c r="AI118" s="89"/>
      <c r="AJ118" s="89"/>
      <c r="AK118" s="89"/>
      <c r="AL118" s="89"/>
      <c r="AM118" s="89"/>
      <c r="AN118" s="89"/>
      <c r="AO118" s="89"/>
    </row>
    <row r="119" spans="1:41"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89"/>
      <c r="Y119" s="89"/>
      <c r="Z119" s="89"/>
      <c r="AA119" s="89"/>
      <c r="AB119" s="89"/>
      <c r="AC119" s="89"/>
      <c r="AD119" s="89"/>
      <c r="AE119" s="89"/>
      <c r="AF119" s="89"/>
      <c r="AG119" s="89"/>
      <c r="AH119" s="89"/>
      <c r="AI119" s="89"/>
      <c r="AJ119" s="89"/>
      <c r="AK119" s="89"/>
      <c r="AL119" s="89"/>
      <c r="AM119" s="89"/>
      <c r="AN119" s="89"/>
      <c r="AO119" s="89"/>
    </row>
    <row r="120" spans="1:41"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89"/>
      <c r="Y120" s="89"/>
      <c r="Z120" s="89"/>
      <c r="AA120" s="89"/>
      <c r="AB120" s="89"/>
      <c r="AC120" s="89"/>
      <c r="AD120" s="89"/>
      <c r="AE120" s="89"/>
      <c r="AF120" s="89"/>
      <c r="AG120" s="89"/>
      <c r="AH120" s="89"/>
      <c r="AI120" s="89"/>
      <c r="AJ120" s="89"/>
      <c r="AK120" s="89"/>
      <c r="AL120" s="89"/>
      <c r="AM120" s="89"/>
      <c r="AN120" s="89"/>
      <c r="AO120" s="89"/>
    </row>
    <row r="121" spans="1:41"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89"/>
      <c r="Y121" s="89"/>
      <c r="Z121" s="89"/>
      <c r="AA121" s="89"/>
      <c r="AB121" s="89"/>
      <c r="AC121" s="89"/>
      <c r="AD121" s="89"/>
      <c r="AE121" s="89"/>
      <c r="AF121" s="89"/>
      <c r="AG121" s="89"/>
      <c r="AH121" s="89"/>
      <c r="AI121" s="89"/>
      <c r="AJ121" s="89"/>
      <c r="AK121" s="89"/>
      <c r="AL121" s="89"/>
      <c r="AM121" s="89"/>
      <c r="AN121" s="89"/>
      <c r="AO121" s="89"/>
    </row>
    <row r="122" spans="1:41"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89"/>
      <c r="Y122" s="89"/>
      <c r="Z122" s="89"/>
      <c r="AA122" s="89"/>
      <c r="AB122" s="89"/>
      <c r="AC122" s="89"/>
      <c r="AD122" s="89"/>
      <c r="AE122" s="89"/>
      <c r="AF122" s="89"/>
      <c r="AG122" s="89"/>
      <c r="AH122" s="89"/>
      <c r="AI122" s="89"/>
      <c r="AJ122" s="89"/>
      <c r="AK122" s="89"/>
      <c r="AL122" s="89"/>
      <c r="AM122" s="89"/>
      <c r="AN122" s="89"/>
      <c r="AO122" s="89"/>
    </row>
    <row r="123" spans="1:41"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89"/>
      <c r="Y123" s="89"/>
      <c r="Z123" s="89"/>
      <c r="AA123" s="89"/>
      <c r="AB123" s="89"/>
      <c r="AC123" s="89"/>
      <c r="AD123" s="89"/>
      <c r="AE123" s="89"/>
      <c r="AF123" s="89"/>
      <c r="AG123" s="89"/>
      <c r="AH123" s="89"/>
      <c r="AI123" s="89"/>
      <c r="AJ123" s="89"/>
      <c r="AK123" s="89"/>
      <c r="AL123" s="89"/>
      <c r="AM123" s="89"/>
      <c r="AN123" s="89"/>
      <c r="AO123" s="89"/>
    </row>
    <row r="124" spans="1:41"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89"/>
      <c r="Y124" s="89"/>
      <c r="Z124" s="89"/>
      <c r="AA124" s="89"/>
      <c r="AB124" s="89"/>
      <c r="AC124" s="89"/>
      <c r="AD124" s="89"/>
      <c r="AE124" s="89"/>
      <c r="AF124" s="89"/>
      <c r="AG124" s="89"/>
      <c r="AH124" s="89"/>
      <c r="AI124" s="89"/>
      <c r="AJ124" s="89"/>
      <c r="AK124" s="89"/>
      <c r="AL124" s="89"/>
      <c r="AM124" s="89"/>
      <c r="AN124" s="89"/>
      <c r="AO124" s="89"/>
    </row>
    <row r="125" spans="1:41"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89"/>
      <c r="Y125" s="89"/>
      <c r="Z125" s="89"/>
      <c r="AA125" s="89"/>
      <c r="AB125" s="89"/>
      <c r="AC125" s="89"/>
      <c r="AD125" s="89"/>
      <c r="AE125" s="89"/>
      <c r="AF125" s="89"/>
      <c r="AG125" s="89"/>
      <c r="AH125" s="89"/>
      <c r="AI125" s="89"/>
      <c r="AJ125" s="89"/>
      <c r="AK125" s="89"/>
      <c r="AL125" s="89"/>
      <c r="AM125" s="89"/>
      <c r="AN125" s="89"/>
      <c r="AO125" s="89"/>
    </row>
    <row r="126" spans="1:41"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89"/>
      <c r="Y126" s="89"/>
      <c r="Z126" s="89"/>
      <c r="AA126" s="89"/>
      <c r="AB126" s="89"/>
      <c r="AC126" s="89"/>
      <c r="AD126" s="89"/>
      <c r="AE126" s="89"/>
      <c r="AF126" s="89"/>
      <c r="AG126" s="89"/>
      <c r="AH126" s="89"/>
      <c r="AI126" s="89"/>
      <c r="AJ126" s="89"/>
      <c r="AK126" s="89"/>
      <c r="AL126" s="89"/>
      <c r="AM126" s="89"/>
      <c r="AN126" s="89"/>
      <c r="AO126" s="89"/>
    </row>
    <row r="127" spans="1:41"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89"/>
      <c r="Y127" s="89"/>
      <c r="Z127" s="89"/>
      <c r="AA127" s="89"/>
      <c r="AB127" s="89"/>
      <c r="AC127" s="89"/>
      <c r="AD127" s="89"/>
      <c r="AE127" s="89"/>
      <c r="AF127" s="89"/>
      <c r="AG127" s="89"/>
      <c r="AH127" s="89"/>
      <c r="AI127" s="89"/>
      <c r="AJ127" s="89"/>
      <c r="AK127" s="89"/>
      <c r="AL127" s="89"/>
      <c r="AM127" s="89"/>
      <c r="AN127" s="89"/>
      <c r="AO127" s="89"/>
    </row>
    <row r="128" spans="1:41"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89"/>
      <c r="Y128" s="89"/>
      <c r="Z128" s="89"/>
      <c r="AA128" s="89"/>
      <c r="AB128" s="89"/>
      <c r="AC128" s="89"/>
      <c r="AD128" s="89"/>
      <c r="AE128" s="89"/>
      <c r="AF128" s="89"/>
      <c r="AG128" s="89"/>
      <c r="AH128" s="89"/>
      <c r="AI128" s="89"/>
      <c r="AJ128" s="89"/>
      <c r="AK128" s="89"/>
      <c r="AL128" s="89"/>
      <c r="AM128" s="89"/>
      <c r="AN128" s="89"/>
      <c r="AO128" s="89"/>
    </row>
    <row r="129" spans="1:41"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89"/>
      <c r="Y129" s="89"/>
      <c r="Z129" s="89"/>
      <c r="AA129" s="89"/>
      <c r="AB129" s="89"/>
      <c r="AC129" s="89"/>
      <c r="AD129" s="89"/>
      <c r="AE129" s="89"/>
      <c r="AF129" s="89"/>
      <c r="AG129" s="89"/>
      <c r="AH129" s="89"/>
      <c r="AI129" s="89"/>
      <c r="AJ129" s="89"/>
      <c r="AK129" s="89"/>
      <c r="AL129" s="89"/>
      <c r="AM129" s="89"/>
      <c r="AN129" s="89"/>
      <c r="AO129" s="89"/>
    </row>
    <row r="130" spans="1:41"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89"/>
      <c r="Y130" s="89"/>
      <c r="Z130" s="89"/>
      <c r="AA130" s="89"/>
      <c r="AB130" s="89"/>
      <c r="AC130" s="89"/>
      <c r="AD130" s="89"/>
      <c r="AE130" s="89"/>
      <c r="AF130" s="89"/>
      <c r="AG130" s="89"/>
      <c r="AH130" s="89"/>
      <c r="AI130" s="89"/>
      <c r="AJ130" s="89"/>
      <c r="AK130" s="89"/>
      <c r="AL130" s="89"/>
      <c r="AM130" s="89"/>
      <c r="AN130" s="89"/>
      <c r="AO130" s="89"/>
    </row>
    <row r="131" spans="1:41"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89"/>
      <c r="Y131" s="89"/>
      <c r="Z131" s="89"/>
      <c r="AA131" s="89"/>
      <c r="AB131" s="89"/>
      <c r="AC131" s="89"/>
      <c r="AD131" s="89"/>
      <c r="AE131" s="89"/>
      <c r="AF131" s="89"/>
      <c r="AG131" s="89"/>
      <c r="AH131" s="89"/>
      <c r="AI131" s="89"/>
      <c r="AJ131" s="89"/>
      <c r="AK131" s="89"/>
      <c r="AL131" s="89"/>
      <c r="AM131" s="89"/>
      <c r="AN131" s="89"/>
      <c r="AO131" s="89"/>
    </row>
    <row r="132" spans="1:41"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89"/>
      <c r="Y132" s="89"/>
      <c r="Z132" s="89"/>
      <c r="AA132" s="89"/>
      <c r="AB132" s="89"/>
      <c r="AC132" s="89"/>
      <c r="AD132" s="89"/>
      <c r="AE132" s="89"/>
      <c r="AF132" s="89"/>
      <c r="AG132" s="89"/>
      <c r="AH132" s="89"/>
      <c r="AI132" s="89"/>
      <c r="AJ132" s="89"/>
      <c r="AK132" s="89"/>
      <c r="AL132" s="89"/>
      <c r="AM132" s="89"/>
      <c r="AN132" s="89"/>
      <c r="AO132" s="89"/>
    </row>
    <row r="133" spans="1:41"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89"/>
      <c r="Y133" s="89"/>
      <c r="Z133" s="89"/>
      <c r="AA133" s="89"/>
      <c r="AB133" s="89"/>
      <c r="AC133" s="89"/>
      <c r="AD133" s="89"/>
      <c r="AE133" s="89"/>
      <c r="AF133" s="89"/>
      <c r="AG133" s="89"/>
      <c r="AH133" s="89"/>
      <c r="AI133" s="89"/>
      <c r="AJ133" s="89"/>
      <c r="AK133" s="89"/>
      <c r="AL133" s="89"/>
      <c r="AM133" s="89"/>
      <c r="AN133" s="89"/>
      <c r="AO133" s="89"/>
    </row>
    <row r="134" spans="1:41"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89"/>
      <c r="Y134" s="89"/>
      <c r="Z134" s="89"/>
      <c r="AA134" s="89"/>
      <c r="AB134" s="89"/>
      <c r="AC134" s="89"/>
      <c r="AD134" s="89"/>
      <c r="AE134" s="89"/>
      <c r="AF134" s="89"/>
      <c r="AG134" s="89"/>
      <c r="AH134" s="89"/>
      <c r="AI134" s="89"/>
      <c r="AJ134" s="89"/>
      <c r="AK134" s="89"/>
      <c r="AL134" s="89"/>
      <c r="AM134" s="89"/>
      <c r="AN134" s="89"/>
      <c r="AO134" s="89"/>
    </row>
    <row r="135" spans="1:41"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89"/>
      <c r="Y135" s="89"/>
      <c r="Z135" s="89"/>
      <c r="AA135" s="89"/>
      <c r="AB135" s="89"/>
      <c r="AC135" s="89"/>
      <c r="AD135" s="89"/>
      <c r="AE135" s="89"/>
      <c r="AF135" s="89"/>
      <c r="AG135" s="89"/>
      <c r="AH135" s="89"/>
      <c r="AI135" s="89"/>
      <c r="AJ135" s="89"/>
      <c r="AK135" s="89"/>
      <c r="AL135" s="89"/>
      <c r="AM135" s="89"/>
      <c r="AN135" s="89"/>
      <c r="AO135" s="89"/>
    </row>
    <row r="136" spans="1:41"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89"/>
      <c r="Y136" s="89"/>
      <c r="Z136" s="89"/>
      <c r="AA136" s="89"/>
      <c r="AB136" s="89"/>
      <c r="AC136" s="89"/>
      <c r="AD136" s="89"/>
      <c r="AE136" s="89"/>
      <c r="AF136" s="89"/>
      <c r="AG136" s="89"/>
      <c r="AH136" s="89"/>
      <c r="AI136" s="89"/>
      <c r="AJ136" s="89"/>
      <c r="AK136" s="89"/>
      <c r="AL136" s="89"/>
      <c r="AM136" s="89"/>
      <c r="AN136" s="89"/>
      <c r="AO136" s="89"/>
    </row>
    <row r="137" spans="1:41"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89"/>
      <c r="Y137" s="89"/>
      <c r="Z137" s="89"/>
      <c r="AA137" s="89"/>
      <c r="AB137" s="89"/>
      <c r="AC137" s="89"/>
      <c r="AD137" s="89"/>
      <c r="AE137" s="89"/>
      <c r="AF137" s="89"/>
      <c r="AG137" s="89"/>
      <c r="AH137" s="89"/>
      <c r="AI137" s="89"/>
      <c r="AJ137" s="89"/>
      <c r="AK137" s="89"/>
      <c r="AL137" s="89"/>
      <c r="AM137" s="89"/>
      <c r="AN137" s="89"/>
      <c r="AO137" s="89"/>
    </row>
    <row r="138" spans="1:41"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89"/>
      <c r="Y138" s="89"/>
      <c r="Z138" s="89"/>
      <c r="AA138" s="89"/>
      <c r="AB138" s="89"/>
      <c r="AC138" s="89"/>
      <c r="AD138" s="89"/>
      <c r="AE138" s="89"/>
      <c r="AF138" s="89"/>
      <c r="AG138" s="89"/>
      <c r="AH138" s="89"/>
      <c r="AI138" s="89"/>
      <c r="AJ138" s="89"/>
      <c r="AK138" s="89"/>
      <c r="AL138" s="89"/>
      <c r="AM138" s="89"/>
      <c r="AN138" s="89"/>
      <c r="AO138" s="89"/>
    </row>
    <row r="139" spans="1:41"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89"/>
      <c r="Y139" s="89"/>
      <c r="Z139" s="89"/>
      <c r="AA139" s="89"/>
      <c r="AB139" s="89"/>
      <c r="AC139" s="89"/>
      <c r="AD139" s="89"/>
      <c r="AE139" s="89"/>
      <c r="AF139" s="89"/>
      <c r="AG139" s="89"/>
      <c r="AH139" s="89"/>
      <c r="AI139" s="89"/>
      <c r="AJ139" s="89"/>
      <c r="AK139" s="89"/>
      <c r="AL139" s="89"/>
      <c r="AM139" s="89"/>
      <c r="AN139" s="89"/>
      <c r="AO139" s="89"/>
    </row>
    <row r="140" spans="1:41"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89"/>
      <c r="Y140" s="89"/>
      <c r="Z140" s="89"/>
      <c r="AA140" s="89"/>
      <c r="AB140" s="89"/>
      <c r="AC140" s="89"/>
      <c r="AD140" s="89"/>
      <c r="AE140" s="89"/>
      <c r="AF140" s="89"/>
      <c r="AG140" s="89"/>
      <c r="AH140" s="89"/>
      <c r="AI140" s="89"/>
      <c r="AJ140" s="89"/>
      <c r="AK140" s="89"/>
      <c r="AL140" s="89"/>
      <c r="AM140" s="89"/>
      <c r="AN140" s="89"/>
      <c r="AO140" s="89"/>
    </row>
    <row r="141" spans="1:41"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89"/>
      <c r="Y141" s="89"/>
      <c r="Z141" s="89"/>
      <c r="AA141" s="89"/>
      <c r="AB141" s="89"/>
      <c r="AC141" s="89"/>
      <c r="AD141" s="89"/>
      <c r="AE141" s="89"/>
      <c r="AF141" s="89"/>
      <c r="AG141" s="89"/>
      <c r="AH141" s="89"/>
      <c r="AI141" s="89"/>
      <c r="AJ141" s="89"/>
      <c r="AK141" s="89"/>
      <c r="AL141" s="89"/>
      <c r="AM141" s="89"/>
      <c r="AN141" s="89"/>
      <c r="AO141" s="89"/>
    </row>
    <row r="142" spans="1:41"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89"/>
      <c r="Y142" s="89"/>
      <c r="Z142" s="89"/>
      <c r="AA142" s="89"/>
      <c r="AB142" s="89"/>
      <c r="AC142" s="89"/>
      <c r="AD142" s="89"/>
      <c r="AE142" s="89"/>
      <c r="AF142" s="89"/>
      <c r="AG142" s="89"/>
      <c r="AH142" s="89"/>
      <c r="AI142" s="89"/>
      <c r="AJ142" s="89"/>
      <c r="AK142" s="89"/>
      <c r="AL142" s="89"/>
      <c r="AM142" s="89"/>
      <c r="AN142" s="89"/>
      <c r="AO142" s="89"/>
    </row>
    <row r="143" spans="1:41"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89"/>
      <c r="Y143" s="89"/>
      <c r="Z143" s="89"/>
      <c r="AA143" s="89"/>
      <c r="AB143" s="89"/>
      <c r="AC143" s="89"/>
      <c r="AD143" s="89"/>
      <c r="AE143" s="89"/>
      <c r="AF143" s="89"/>
      <c r="AG143" s="89"/>
      <c r="AH143" s="89"/>
      <c r="AI143" s="89"/>
      <c r="AJ143" s="89"/>
      <c r="AK143" s="89"/>
      <c r="AL143" s="89"/>
      <c r="AM143" s="89"/>
      <c r="AN143" s="89"/>
      <c r="AO143" s="89"/>
    </row>
    <row r="144" spans="1:41"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89"/>
      <c r="Y144" s="89"/>
      <c r="Z144" s="89"/>
      <c r="AA144" s="89"/>
      <c r="AB144" s="89"/>
      <c r="AC144" s="89"/>
      <c r="AD144" s="89"/>
      <c r="AE144" s="89"/>
      <c r="AF144" s="89"/>
      <c r="AG144" s="89"/>
      <c r="AH144" s="89"/>
      <c r="AI144" s="89"/>
      <c r="AJ144" s="89"/>
      <c r="AK144" s="89"/>
      <c r="AL144" s="89"/>
      <c r="AM144" s="89"/>
      <c r="AN144" s="89"/>
      <c r="AO144" s="89"/>
    </row>
    <row r="145" spans="1:41"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89"/>
      <c r="Y145" s="89"/>
      <c r="Z145" s="89"/>
      <c r="AA145" s="89"/>
      <c r="AB145" s="89"/>
      <c r="AC145" s="89"/>
      <c r="AD145" s="89"/>
      <c r="AE145" s="89"/>
      <c r="AF145" s="89"/>
      <c r="AG145" s="89"/>
      <c r="AH145" s="89"/>
      <c r="AI145" s="89"/>
      <c r="AJ145" s="89"/>
      <c r="AK145" s="89"/>
      <c r="AL145" s="89"/>
      <c r="AM145" s="89"/>
      <c r="AN145" s="89"/>
      <c r="AO145" s="89"/>
    </row>
    <row r="146" spans="1:41"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89"/>
      <c r="Y146" s="89"/>
      <c r="Z146" s="89"/>
      <c r="AA146" s="89"/>
      <c r="AB146" s="89"/>
      <c r="AC146" s="89"/>
      <c r="AD146" s="89"/>
      <c r="AE146" s="89"/>
      <c r="AF146" s="89"/>
      <c r="AG146" s="89"/>
      <c r="AH146" s="89"/>
      <c r="AI146" s="89"/>
      <c r="AJ146" s="89"/>
      <c r="AK146" s="89"/>
      <c r="AL146" s="89"/>
      <c r="AM146" s="89"/>
      <c r="AN146" s="89"/>
      <c r="AO146" s="89"/>
    </row>
    <row r="147" spans="1:41"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89"/>
      <c r="Y147" s="89"/>
      <c r="Z147" s="89"/>
      <c r="AA147" s="89"/>
      <c r="AB147" s="89"/>
      <c r="AC147" s="89"/>
      <c r="AD147" s="89"/>
      <c r="AE147" s="89"/>
      <c r="AF147" s="89"/>
      <c r="AG147" s="89"/>
      <c r="AH147" s="89"/>
      <c r="AI147" s="89"/>
      <c r="AJ147" s="89"/>
      <c r="AK147" s="89"/>
      <c r="AL147" s="89"/>
      <c r="AM147" s="89"/>
      <c r="AN147" s="89"/>
      <c r="AO147" s="89"/>
    </row>
    <row r="148" spans="1:41"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89"/>
      <c r="Y148" s="89"/>
      <c r="Z148" s="89"/>
      <c r="AA148" s="89"/>
      <c r="AB148" s="89"/>
      <c r="AC148" s="89"/>
      <c r="AD148" s="89"/>
      <c r="AE148" s="89"/>
      <c r="AF148" s="89"/>
      <c r="AG148" s="89"/>
      <c r="AH148" s="89"/>
      <c r="AI148" s="89"/>
      <c r="AJ148" s="89"/>
      <c r="AK148" s="89"/>
      <c r="AL148" s="89"/>
      <c r="AM148" s="89"/>
      <c r="AN148" s="89"/>
      <c r="AO148" s="89"/>
    </row>
    <row r="149" spans="1:41"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89"/>
      <c r="Y149" s="89"/>
      <c r="Z149" s="89"/>
      <c r="AA149" s="89"/>
      <c r="AB149" s="89"/>
      <c r="AC149" s="89"/>
      <c r="AD149" s="89"/>
      <c r="AE149" s="89"/>
      <c r="AF149" s="89"/>
      <c r="AG149" s="89"/>
      <c r="AH149" s="89"/>
      <c r="AI149" s="89"/>
      <c r="AJ149" s="89"/>
      <c r="AK149" s="89"/>
      <c r="AL149" s="89"/>
      <c r="AM149" s="89"/>
      <c r="AN149" s="89"/>
      <c r="AO149" s="89"/>
    </row>
    <row r="150" spans="1:41"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89"/>
      <c r="Y150" s="89"/>
      <c r="Z150" s="89"/>
      <c r="AA150" s="89"/>
      <c r="AB150" s="89"/>
      <c r="AC150" s="89"/>
      <c r="AD150" s="89"/>
      <c r="AE150" s="89"/>
      <c r="AF150" s="89"/>
      <c r="AG150" s="89"/>
      <c r="AH150" s="89"/>
      <c r="AI150" s="89"/>
      <c r="AJ150" s="89"/>
      <c r="AK150" s="89"/>
      <c r="AL150" s="89"/>
      <c r="AM150" s="89"/>
      <c r="AN150" s="89"/>
      <c r="AO150" s="89"/>
    </row>
    <row r="151" spans="1:41"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89"/>
      <c r="Y151" s="89"/>
      <c r="Z151" s="89"/>
      <c r="AA151" s="89"/>
      <c r="AB151" s="89"/>
      <c r="AC151" s="89"/>
      <c r="AD151" s="89"/>
      <c r="AE151" s="89"/>
      <c r="AF151" s="89"/>
      <c r="AG151" s="89"/>
      <c r="AH151" s="89"/>
      <c r="AI151" s="89"/>
      <c r="AJ151" s="89"/>
      <c r="AK151" s="89"/>
      <c r="AL151" s="89"/>
      <c r="AM151" s="89"/>
      <c r="AN151" s="89"/>
      <c r="AO151" s="89"/>
    </row>
    <row r="152" spans="1:41"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89"/>
      <c r="Y152" s="89"/>
      <c r="Z152" s="89"/>
      <c r="AA152" s="89"/>
      <c r="AB152" s="89"/>
      <c r="AC152" s="89"/>
      <c r="AD152" s="89"/>
      <c r="AE152" s="89"/>
      <c r="AF152" s="89"/>
      <c r="AG152" s="89"/>
      <c r="AH152" s="89"/>
      <c r="AI152" s="89"/>
      <c r="AJ152" s="89"/>
      <c r="AK152" s="89"/>
      <c r="AL152" s="89"/>
      <c r="AM152" s="89"/>
      <c r="AN152" s="89"/>
      <c r="AO152" s="89"/>
    </row>
    <row r="153" spans="1:41"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89"/>
      <c r="Y153" s="89"/>
      <c r="Z153" s="89"/>
      <c r="AA153" s="89"/>
      <c r="AB153" s="89"/>
      <c r="AC153" s="89"/>
      <c r="AD153" s="89"/>
      <c r="AE153" s="89"/>
      <c r="AF153" s="89"/>
      <c r="AG153" s="89"/>
      <c r="AH153" s="89"/>
      <c r="AI153" s="89"/>
      <c r="AJ153" s="89"/>
      <c r="AK153" s="89"/>
      <c r="AL153" s="89"/>
      <c r="AM153" s="89"/>
      <c r="AN153" s="89"/>
      <c r="AO153" s="89"/>
    </row>
    <row r="154" spans="1:41"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89"/>
      <c r="Y154" s="89"/>
      <c r="Z154" s="89"/>
      <c r="AA154" s="89"/>
      <c r="AB154" s="89"/>
      <c r="AC154" s="89"/>
      <c r="AD154" s="89"/>
      <c r="AE154" s="89"/>
      <c r="AF154" s="89"/>
      <c r="AG154" s="89"/>
      <c r="AH154" s="89"/>
      <c r="AI154" s="89"/>
      <c r="AJ154" s="89"/>
      <c r="AK154" s="89"/>
      <c r="AL154" s="89"/>
      <c r="AM154" s="89"/>
      <c r="AN154" s="89"/>
      <c r="AO154" s="89"/>
    </row>
    <row r="155" spans="1:41"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89"/>
      <c r="Y155" s="89"/>
      <c r="Z155" s="89"/>
      <c r="AA155" s="89"/>
      <c r="AB155" s="89"/>
      <c r="AC155" s="89"/>
      <c r="AD155" s="89"/>
      <c r="AE155" s="89"/>
      <c r="AF155" s="89"/>
      <c r="AG155" s="89"/>
      <c r="AH155" s="89"/>
      <c r="AI155" s="89"/>
      <c r="AJ155" s="89"/>
      <c r="AK155" s="89"/>
      <c r="AL155" s="89"/>
      <c r="AM155" s="89"/>
      <c r="AN155" s="89"/>
      <c r="AO155" s="89"/>
    </row>
    <row r="156" spans="1:41"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89"/>
      <c r="Y156" s="89"/>
      <c r="Z156" s="89"/>
      <c r="AA156" s="89"/>
      <c r="AB156" s="89"/>
      <c r="AC156" s="89"/>
      <c r="AD156" s="89"/>
      <c r="AE156" s="89"/>
      <c r="AF156" s="89"/>
      <c r="AG156" s="89"/>
      <c r="AH156" s="89"/>
      <c r="AI156" s="89"/>
      <c r="AJ156" s="89"/>
      <c r="AK156" s="89"/>
      <c r="AL156" s="89"/>
      <c r="AM156" s="89"/>
      <c r="AN156" s="89"/>
      <c r="AO156" s="89"/>
    </row>
    <row r="157" spans="1:41"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89"/>
      <c r="Y157" s="89"/>
      <c r="Z157" s="89"/>
      <c r="AA157" s="89"/>
      <c r="AB157" s="89"/>
      <c r="AC157" s="89"/>
      <c r="AD157" s="89"/>
      <c r="AE157" s="89"/>
      <c r="AF157" s="89"/>
      <c r="AG157" s="89"/>
      <c r="AH157" s="89"/>
      <c r="AI157" s="89"/>
      <c r="AJ157" s="89"/>
      <c r="AK157" s="89"/>
      <c r="AL157" s="89"/>
      <c r="AM157" s="89"/>
      <c r="AN157" s="89"/>
      <c r="AO157" s="89"/>
    </row>
    <row r="158" spans="1:41"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89"/>
      <c r="Y158" s="89"/>
      <c r="Z158" s="89"/>
      <c r="AA158" s="89"/>
      <c r="AB158" s="89"/>
      <c r="AC158" s="89"/>
      <c r="AD158" s="89"/>
      <c r="AE158" s="89"/>
      <c r="AF158" s="89"/>
      <c r="AG158" s="89"/>
      <c r="AH158" s="89"/>
      <c r="AI158" s="89"/>
      <c r="AJ158" s="89"/>
      <c r="AK158" s="89"/>
      <c r="AL158" s="89"/>
      <c r="AM158" s="89"/>
      <c r="AN158" s="89"/>
      <c r="AO158" s="89"/>
    </row>
    <row r="159" spans="1:41"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89"/>
      <c r="Y159" s="89"/>
      <c r="Z159" s="89"/>
      <c r="AA159" s="89"/>
      <c r="AB159" s="89"/>
      <c r="AC159" s="89"/>
      <c r="AD159" s="89"/>
      <c r="AE159" s="89"/>
      <c r="AF159" s="89"/>
      <c r="AG159" s="89"/>
      <c r="AH159" s="89"/>
      <c r="AI159" s="89"/>
      <c r="AJ159" s="89"/>
      <c r="AK159" s="89"/>
      <c r="AL159" s="89"/>
      <c r="AM159" s="89"/>
      <c r="AN159" s="89"/>
      <c r="AO159" s="89"/>
    </row>
    <row r="160" spans="1:41"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89"/>
      <c r="Y160" s="89"/>
      <c r="Z160" s="89"/>
      <c r="AA160" s="89"/>
      <c r="AB160" s="89"/>
      <c r="AC160" s="89"/>
      <c r="AD160" s="89"/>
      <c r="AE160" s="89"/>
      <c r="AF160" s="89"/>
      <c r="AG160" s="89"/>
      <c r="AH160" s="89"/>
      <c r="AI160" s="89"/>
      <c r="AJ160" s="89"/>
      <c r="AK160" s="89"/>
      <c r="AL160" s="89"/>
      <c r="AM160" s="89"/>
      <c r="AN160" s="89"/>
      <c r="AO160" s="89"/>
    </row>
    <row r="161" spans="1:41"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89"/>
      <c r="Y161" s="89"/>
      <c r="Z161" s="89"/>
      <c r="AA161" s="89"/>
      <c r="AB161" s="89"/>
      <c r="AC161" s="89"/>
      <c r="AD161" s="89"/>
      <c r="AE161" s="89"/>
      <c r="AF161" s="89"/>
      <c r="AG161" s="89"/>
      <c r="AH161" s="89"/>
      <c r="AI161" s="89"/>
      <c r="AJ161" s="89"/>
      <c r="AK161" s="89"/>
      <c r="AL161" s="89"/>
      <c r="AM161" s="89"/>
      <c r="AN161" s="89"/>
      <c r="AO161" s="89"/>
    </row>
    <row r="162" spans="1:41"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89"/>
      <c r="Y162" s="89"/>
      <c r="Z162" s="89"/>
      <c r="AA162" s="89"/>
      <c r="AB162" s="89"/>
      <c r="AC162" s="89"/>
      <c r="AD162" s="89"/>
      <c r="AE162" s="89"/>
      <c r="AF162" s="89"/>
      <c r="AG162" s="89"/>
      <c r="AH162" s="89"/>
      <c r="AI162" s="89"/>
      <c r="AJ162" s="89"/>
      <c r="AK162" s="89"/>
      <c r="AL162" s="89"/>
      <c r="AM162" s="89"/>
      <c r="AN162" s="89"/>
      <c r="AO162" s="89"/>
    </row>
    <row r="163" spans="1:41"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89"/>
      <c r="Y163" s="89"/>
      <c r="Z163" s="89"/>
      <c r="AA163" s="89"/>
      <c r="AB163" s="89"/>
      <c r="AC163" s="89"/>
      <c r="AD163" s="89"/>
      <c r="AE163" s="89"/>
      <c r="AF163" s="89"/>
      <c r="AG163" s="89"/>
      <c r="AH163" s="89"/>
      <c r="AI163" s="89"/>
      <c r="AJ163" s="89"/>
      <c r="AK163" s="89"/>
      <c r="AL163" s="89"/>
      <c r="AM163" s="89"/>
      <c r="AN163" s="89"/>
      <c r="AO163" s="89"/>
    </row>
    <row r="164" spans="1:41"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89"/>
      <c r="Y164" s="89"/>
      <c r="Z164" s="89"/>
      <c r="AA164" s="89"/>
      <c r="AB164" s="89"/>
      <c r="AC164" s="89"/>
      <c r="AD164" s="89"/>
      <c r="AE164" s="89"/>
      <c r="AF164" s="89"/>
      <c r="AG164" s="89"/>
      <c r="AH164" s="89"/>
      <c r="AI164" s="89"/>
      <c r="AJ164" s="89"/>
      <c r="AK164" s="89"/>
      <c r="AL164" s="89"/>
      <c r="AM164" s="89"/>
      <c r="AN164" s="89"/>
      <c r="AO164" s="89"/>
    </row>
    <row r="165" spans="1:41"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89"/>
      <c r="Y165" s="89"/>
      <c r="Z165" s="89"/>
      <c r="AA165" s="89"/>
      <c r="AB165" s="89"/>
      <c r="AC165" s="89"/>
      <c r="AD165" s="89"/>
      <c r="AE165" s="89"/>
      <c r="AF165" s="89"/>
      <c r="AG165" s="89"/>
      <c r="AH165" s="89"/>
      <c r="AI165" s="89"/>
      <c r="AJ165" s="89"/>
      <c r="AK165" s="89"/>
      <c r="AL165" s="89"/>
      <c r="AM165" s="89"/>
      <c r="AN165" s="89"/>
      <c r="AO165" s="89"/>
    </row>
    <row r="166" spans="1:41"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89"/>
      <c r="Y166" s="89"/>
      <c r="Z166" s="89"/>
      <c r="AA166" s="89"/>
      <c r="AB166" s="89"/>
      <c r="AC166" s="89"/>
      <c r="AD166" s="89"/>
      <c r="AE166" s="89"/>
      <c r="AF166" s="89"/>
      <c r="AG166" s="89"/>
      <c r="AH166" s="89"/>
      <c r="AI166" s="89"/>
      <c r="AJ166" s="89"/>
      <c r="AK166" s="89"/>
      <c r="AL166" s="89"/>
      <c r="AM166" s="89"/>
      <c r="AN166" s="89"/>
      <c r="AO166" s="89"/>
    </row>
    <row r="167" spans="1:41"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89"/>
      <c r="Y167" s="89"/>
      <c r="Z167" s="89"/>
      <c r="AA167" s="89"/>
      <c r="AB167" s="89"/>
      <c r="AC167" s="89"/>
      <c r="AD167" s="89"/>
      <c r="AE167" s="89"/>
      <c r="AF167" s="89"/>
      <c r="AG167" s="89"/>
      <c r="AH167" s="89"/>
      <c r="AI167" s="89"/>
      <c r="AJ167" s="89"/>
      <c r="AK167" s="89"/>
      <c r="AL167" s="89"/>
      <c r="AM167" s="89"/>
      <c r="AN167" s="89"/>
      <c r="AO167" s="89"/>
    </row>
    <row r="168" spans="1:41"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89"/>
      <c r="Y168" s="89"/>
      <c r="Z168" s="89"/>
      <c r="AA168" s="89"/>
      <c r="AB168" s="89"/>
      <c r="AC168" s="89"/>
      <c r="AD168" s="89"/>
      <c r="AE168" s="89"/>
      <c r="AF168" s="89"/>
      <c r="AG168" s="89"/>
      <c r="AH168" s="89"/>
      <c r="AI168" s="89"/>
      <c r="AJ168" s="89"/>
      <c r="AK168" s="89"/>
      <c r="AL168" s="89"/>
      <c r="AM168" s="89"/>
      <c r="AN168" s="89"/>
      <c r="AO168" s="89"/>
    </row>
    <row r="169" spans="1:41"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89"/>
      <c r="Y169" s="89"/>
      <c r="Z169" s="89"/>
      <c r="AA169" s="89"/>
      <c r="AB169" s="89"/>
      <c r="AC169" s="89"/>
      <c r="AD169" s="89"/>
      <c r="AE169" s="89"/>
      <c r="AF169" s="89"/>
      <c r="AG169" s="89"/>
      <c r="AH169" s="89"/>
      <c r="AI169" s="89"/>
      <c r="AJ169" s="89"/>
      <c r="AK169" s="89"/>
      <c r="AL169" s="89"/>
      <c r="AM169" s="89"/>
      <c r="AN169" s="89"/>
      <c r="AO169" s="89"/>
    </row>
    <row r="170" spans="1:41"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89"/>
      <c r="Y170" s="89"/>
      <c r="Z170" s="89"/>
      <c r="AA170" s="89"/>
      <c r="AB170" s="89"/>
      <c r="AC170" s="89"/>
      <c r="AD170" s="89"/>
      <c r="AE170" s="89"/>
      <c r="AF170" s="89"/>
      <c r="AG170" s="89"/>
      <c r="AH170" s="89"/>
      <c r="AI170" s="89"/>
      <c r="AJ170" s="89"/>
      <c r="AK170" s="89"/>
      <c r="AL170" s="89"/>
      <c r="AM170" s="89"/>
      <c r="AN170" s="89"/>
      <c r="AO170" s="89"/>
    </row>
    <row r="171" spans="1:41"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89"/>
      <c r="Y171" s="89"/>
      <c r="Z171" s="89"/>
      <c r="AA171" s="89"/>
      <c r="AB171" s="89"/>
      <c r="AC171" s="89"/>
      <c r="AD171" s="89"/>
      <c r="AE171" s="89"/>
      <c r="AF171" s="89"/>
      <c r="AG171" s="89"/>
      <c r="AH171" s="89"/>
      <c r="AI171" s="89"/>
      <c r="AJ171" s="89"/>
      <c r="AK171" s="89"/>
      <c r="AL171" s="89"/>
      <c r="AM171" s="89"/>
      <c r="AN171" s="89"/>
      <c r="AO171" s="89"/>
    </row>
    <row r="172" spans="1:41"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89"/>
      <c r="Y172" s="89"/>
      <c r="Z172" s="89"/>
      <c r="AA172" s="89"/>
      <c r="AB172" s="89"/>
      <c r="AC172" s="89"/>
      <c r="AD172" s="89"/>
      <c r="AE172" s="89"/>
      <c r="AF172" s="89"/>
      <c r="AG172" s="89"/>
      <c r="AH172" s="89"/>
      <c r="AI172" s="89"/>
      <c r="AJ172" s="89"/>
      <c r="AK172" s="89"/>
      <c r="AL172" s="89"/>
      <c r="AM172" s="89"/>
      <c r="AN172" s="89"/>
      <c r="AO172" s="89"/>
    </row>
    <row r="173" spans="1:41"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89"/>
      <c r="Y173" s="89"/>
      <c r="Z173" s="89"/>
      <c r="AA173" s="89"/>
      <c r="AB173" s="89"/>
      <c r="AC173" s="89"/>
      <c r="AD173" s="89"/>
      <c r="AE173" s="89"/>
      <c r="AF173" s="89"/>
      <c r="AG173" s="89"/>
      <c r="AH173" s="89"/>
      <c r="AI173" s="89"/>
      <c r="AJ173" s="89"/>
      <c r="AK173" s="89"/>
      <c r="AL173" s="89"/>
      <c r="AM173" s="89"/>
      <c r="AN173" s="89"/>
      <c r="AO173" s="89"/>
    </row>
    <row r="174" spans="1:41"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89"/>
      <c r="Y174" s="89"/>
      <c r="Z174" s="89"/>
      <c r="AA174" s="89"/>
      <c r="AB174" s="89"/>
      <c r="AC174" s="89"/>
      <c r="AD174" s="89"/>
      <c r="AE174" s="89"/>
      <c r="AF174" s="89"/>
      <c r="AG174" s="89"/>
      <c r="AH174" s="89"/>
      <c r="AI174" s="89"/>
      <c r="AJ174" s="89"/>
      <c r="AK174" s="89"/>
      <c r="AL174" s="89"/>
      <c r="AM174" s="89"/>
      <c r="AN174" s="89"/>
      <c r="AO174" s="89"/>
    </row>
    <row r="175" spans="1:41"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89"/>
      <c r="Y175" s="89"/>
      <c r="Z175" s="89"/>
      <c r="AA175" s="89"/>
      <c r="AB175" s="89"/>
      <c r="AC175" s="89"/>
      <c r="AD175" s="89"/>
      <c r="AE175" s="89"/>
      <c r="AF175" s="89"/>
      <c r="AG175" s="89"/>
      <c r="AH175" s="89"/>
      <c r="AI175" s="89"/>
      <c r="AJ175" s="89"/>
      <c r="AK175" s="89"/>
      <c r="AL175" s="89"/>
      <c r="AM175" s="89"/>
      <c r="AN175" s="89"/>
      <c r="AO175" s="89"/>
    </row>
    <row r="176" spans="1:41"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89"/>
      <c r="Y176" s="89"/>
      <c r="Z176" s="89"/>
      <c r="AA176" s="89"/>
      <c r="AB176" s="89"/>
      <c r="AC176" s="89"/>
      <c r="AD176" s="89"/>
      <c r="AE176" s="89"/>
      <c r="AF176" s="89"/>
      <c r="AG176" s="89"/>
      <c r="AH176" s="89"/>
      <c r="AI176" s="89"/>
      <c r="AJ176" s="89"/>
      <c r="AK176" s="89"/>
      <c r="AL176" s="89"/>
      <c r="AM176" s="89"/>
      <c r="AN176" s="89"/>
      <c r="AO176" s="89"/>
    </row>
    <row r="177" spans="1:41"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89"/>
      <c r="Y177" s="89"/>
      <c r="Z177" s="89"/>
      <c r="AA177" s="89"/>
      <c r="AB177" s="89"/>
      <c r="AC177" s="89"/>
      <c r="AD177" s="89"/>
      <c r="AE177" s="89"/>
      <c r="AF177" s="89"/>
      <c r="AG177" s="89"/>
      <c r="AH177" s="89"/>
      <c r="AI177" s="89"/>
      <c r="AJ177" s="89"/>
      <c r="AK177" s="89"/>
      <c r="AL177" s="89"/>
      <c r="AM177" s="89"/>
      <c r="AN177" s="89"/>
      <c r="AO177" s="89"/>
    </row>
    <row r="178" spans="1:41"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89"/>
      <c r="Y178" s="89"/>
      <c r="Z178" s="89"/>
      <c r="AA178" s="89"/>
      <c r="AB178" s="89"/>
      <c r="AC178" s="89"/>
      <c r="AD178" s="89"/>
      <c r="AE178" s="89"/>
      <c r="AF178" s="89"/>
      <c r="AG178" s="89"/>
      <c r="AH178" s="89"/>
      <c r="AI178" s="89"/>
      <c r="AJ178" s="89"/>
      <c r="AK178" s="89"/>
      <c r="AL178" s="89"/>
      <c r="AM178" s="89"/>
      <c r="AN178" s="89"/>
      <c r="AO178" s="89"/>
    </row>
    <row r="179" spans="1:41"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89"/>
      <c r="Y179" s="89"/>
      <c r="Z179" s="89"/>
      <c r="AA179" s="89"/>
      <c r="AB179" s="89"/>
      <c r="AC179" s="89"/>
      <c r="AD179" s="89"/>
      <c r="AE179" s="89"/>
      <c r="AF179" s="89"/>
      <c r="AG179" s="89"/>
      <c r="AH179" s="89"/>
      <c r="AI179" s="89"/>
      <c r="AJ179" s="89"/>
      <c r="AK179" s="89"/>
      <c r="AL179" s="89"/>
      <c r="AM179" s="89"/>
      <c r="AN179" s="89"/>
      <c r="AO179" s="89"/>
    </row>
    <row r="180" spans="1:41"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89"/>
      <c r="Y180" s="89"/>
      <c r="Z180" s="89"/>
      <c r="AA180" s="89"/>
      <c r="AB180" s="89"/>
      <c r="AC180" s="89"/>
      <c r="AD180" s="89"/>
      <c r="AE180" s="89"/>
      <c r="AF180" s="89"/>
      <c r="AG180" s="89"/>
      <c r="AH180" s="89"/>
      <c r="AI180" s="89"/>
      <c r="AJ180" s="89"/>
      <c r="AK180" s="89"/>
      <c r="AL180" s="89"/>
      <c r="AM180" s="89"/>
      <c r="AN180" s="89"/>
      <c r="AO180" s="89"/>
    </row>
    <row r="181" spans="1:41"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89"/>
      <c r="Y181" s="89"/>
      <c r="Z181" s="89"/>
      <c r="AA181" s="89"/>
      <c r="AB181" s="89"/>
      <c r="AC181" s="89"/>
      <c r="AD181" s="89"/>
      <c r="AE181" s="89"/>
      <c r="AF181" s="89"/>
      <c r="AG181" s="89"/>
      <c r="AH181" s="89"/>
      <c r="AI181" s="89"/>
      <c r="AJ181" s="89"/>
      <c r="AK181" s="89"/>
      <c r="AL181" s="89"/>
      <c r="AM181" s="89"/>
      <c r="AN181" s="89"/>
      <c r="AO181" s="89"/>
    </row>
    <row r="182" spans="1:41"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89"/>
      <c r="Y182" s="89"/>
      <c r="Z182" s="89"/>
      <c r="AA182" s="89"/>
      <c r="AB182" s="89"/>
      <c r="AC182" s="89"/>
      <c r="AD182" s="89"/>
      <c r="AE182" s="89"/>
      <c r="AF182" s="89"/>
      <c r="AG182" s="89"/>
      <c r="AH182" s="89"/>
      <c r="AI182" s="89"/>
      <c r="AJ182" s="89"/>
      <c r="AK182" s="89"/>
      <c r="AL182" s="89"/>
      <c r="AM182" s="89"/>
      <c r="AN182" s="89"/>
      <c r="AO182" s="89"/>
    </row>
    <row r="183" spans="1:41"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89"/>
      <c r="Y183" s="89"/>
      <c r="Z183" s="89"/>
      <c r="AA183" s="89"/>
      <c r="AB183" s="89"/>
      <c r="AC183" s="89"/>
      <c r="AD183" s="89"/>
      <c r="AE183" s="89"/>
      <c r="AF183" s="89"/>
      <c r="AG183" s="89"/>
      <c r="AH183" s="89"/>
      <c r="AI183" s="89"/>
      <c r="AJ183" s="89"/>
      <c r="AK183" s="89"/>
      <c r="AL183" s="89"/>
      <c r="AM183" s="89"/>
      <c r="AN183" s="89"/>
      <c r="AO183" s="89"/>
    </row>
    <row r="184" spans="1:41"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89"/>
      <c r="Y184" s="89"/>
      <c r="Z184" s="89"/>
      <c r="AA184" s="89"/>
      <c r="AB184" s="89"/>
      <c r="AC184" s="89"/>
      <c r="AD184" s="89"/>
      <c r="AE184" s="89"/>
      <c r="AF184" s="89"/>
      <c r="AG184" s="89"/>
      <c r="AH184" s="89"/>
      <c r="AI184" s="89"/>
      <c r="AJ184" s="89"/>
      <c r="AK184" s="89"/>
      <c r="AL184" s="89"/>
      <c r="AM184" s="89"/>
      <c r="AN184" s="89"/>
      <c r="AO184" s="89"/>
    </row>
    <row r="185" spans="1:41"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89"/>
      <c r="Y185" s="89"/>
      <c r="Z185" s="89"/>
      <c r="AA185" s="89"/>
      <c r="AB185" s="89"/>
      <c r="AC185" s="89"/>
      <c r="AD185" s="89"/>
      <c r="AE185" s="89"/>
      <c r="AF185" s="89"/>
      <c r="AG185" s="89"/>
      <c r="AH185" s="89"/>
      <c r="AI185" s="89"/>
      <c r="AJ185" s="89"/>
      <c r="AK185" s="89"/>
      <c r="AL185" s="89"/>
      <c r="AM185" s="89"/>
      <c r="AN185" s="89"/>
      <c r="AO185" s="89"/>
    </row>
    <row r="186" spans="1:41"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89"/>
      <c r="Y186" s="89"/>
      <c r="Z186" s="89"/>
      <c r="AA186" s="89"/>
      <c r="AB186" s="89"/>
      <c r="AC186" s="89"/>
      <c r="AD186" s="89"/>
      <c r="AE186" s="89"/>
      <c r="AF186" s="89"/>
      <c r="AG186" s="89"/>
      <c r="AH186" s="89"/>
      <c r="AI186" s="89"/>
      <c r="AJ186" s="89"/>
      <c r="AK186" s="89"/>
      <c r="AL186" s="89"/>
      <c r="AM186" s="89"/>
      <c r="AN186" s="89"/>
      <c r="AO186" s="89"/>
    </row>
    <row r="187" spans="1:41"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89"/>
      <c r="Y187" s="89"/>
      <c r="Z187" s="89"/>
      <c r="AA187" s="89"/>
      <c r="AB187" s="89"/>
      <c r="AC187" s="89"/>
      <c r="AD187" s="89"/>
      <c r="AE187" s="89"/>
      <c r="AF187" s="89"/>
      <c r="AG187" s="89"/>
      <c r="AH187" s="89"/>
      <c r="AI187" s="89"/>
      <c r="AJ187" s="89"/>
      <c r="AK187" s="89"/>
      <c r="AL187" s="89"/>
      <c r="AM187" s="89"/>
      <c r="AN187" s="89"/>
      <c r="AO187" s="89"/>
    </row>
    <row r="188" spans="1:41"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89"/>
      <c r="Y188" s="89"/>
      <c r="Z188" s="89"/>
      <c r="AA188" s="89"/>
      <c r="AB188" s="89"/>
      <c r="AC188" s="89"/>
      <c r="AD188" s="89"/>
      <c r="AE188" s="89"/>
      <c r="AF188" s="89"/>
      <c r="AG188" s="89"/>
      <c r="AH188" s="89"/>
      <c r="AI188" s="89"/>
      <c r="AJ188" s="89"/>
      <c r="AK188" s="89"/>
      <c r="AL188" s="89"/>
      <c r="AM188" s="89"/>
      <c r="AN188" s="89"/>
      <c r="AO188" s="89"/>
    </row>
    <row r="189" spans="1:41"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89"/>
      <c r="Y189" s="89"/>
      <c r="Z189" s="89"/>
      <c r="AA189" s="89"/>
      <c r="AB189" s="89"/>
      <c r="AC189" s="89"/>
      <c r="AD189" s="89"/>
      <c r="AE189" s="89"/>
      <c r="AF189" s="89"/>
      <c r="AG189" s="89"/>
      <c r="AH189" s="89"/>
      <c r="AI189" s="89"/>
      <c r="AJ189" s="89"/>
      <c r="AK189" s="89"/>
      <c r="AL189" s="89"/>
      <c r="AM189" s="89"/>
      <c r="AN189" s="89"/>
      <c r="AO189" s="89"/>
    </row>
    <row r="190" spans="1:41"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89"/>
      <c r="Y190" s="89"/>
      <c r="Z190" s="89"/>
      <c r="AA190" s="89"/>
      <c r="AB190" s="89"/>
      <c r="AC190" s="89"/>
      <c r="AD190" s="89"/>
      <c r="AE190" s="89"/>
      <c r="AF190" s="89"/>
      <c r="AG190" s="89"/>
      <c r="AH190" s="89"/>
      <c r="AI190" s="89"/>
      <c r="AJ190" s="89"/>
      <c r="AK190" s="89"/>
      <c r="AL190" s="89"/>
      <c r="AM190" s="89"/>
      <c r="AN190" s="89"/>
      <c r="AO190" s="89"/>
    </row>
    <row r="191" spans="1:41"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89"/>
      <c r="Y191" s="89"/>
      <c r="Z191" s="89"/>
      <c r="AA191" s="89"/>
      <c r="AB191" s="89"/>
      <c r="AC191" s="89"/>
      <c r="AD191" s="89"/>
      <c r="AE191" s="89"/>
      <c r="AF191" s="89"/>
      <c r="AG191" s="89"/>
      <c r="AH191" s="89"/>
      <c r="AI191" s="89"/>
      <c r="AJ191" s="89"/>
      <c r="AK191" s="89"/>
      <c r="AL191" s="89"/>
      <c r="AM191" s="89"/>
      <c r="AN191" s="89"/>
      <c r="AO191" s="89"/>
    </row>
    <row r="192" spans="1:41"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89"/>
      <c r="Y192" s="89"/>
      <c r="Z192" s="89"/>
      <c r="AA192" s="89"/>
      <c r="AB192" s="89"/>
      <c r="AC192" s="89"/>
      <c r="AD192" s="89"/>
      <c r="AE192" s="89"/>
      <c r="AF192" s="89"/>
      <c r="AG192" s="89"/>
      <c r="AH192" s="89"/>
      <c r="AI192" s="89"/>
      <c r="AJ192" s="89"/>
      <c r="AK192" s="89"/>
      <c r="AL192" s="89"/>
      <c r="AM192" s="89"/>
      <c r="AN192" s="89"/>
      <c r="AO192" s="89"/>
    </row>
    <row r="193" spans="1:41"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89"/>
      <c r="Y193" s="89"/>
      <c r="Z193" s="89"/>
      <c r="AA193" s="89"/>
      <c r="AB193" s="89"/>
      <c r="AC193" s="89"/>
      <c r="AD193" s="89"/>
      <c r="AE193" s="89"/>
      <c r="AF193" s="89"/>
      <c r="AG193" s="89"/>
      <c r="AH193" s="89"/>
      <c r="AI193" s="89"/>
      <c r="AJ193" s="89"/>
      <c r="AK193" s="89"/>
      <c r="AL193" s="89"/>
      <c r="AM193" s="89"/>
      <c r="AN193" s="89"/>
      <c r="AO193" s="89"/>
    </row>
    <row r="194" spans="1:41"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89"/>
      <c r="Y194" s="89"/>
      <c r="Z194" s="89"/>
      <c r="AA194" s="89"/>
      <c r="AB194" s="89"/>
      <c r="AC194" s="89"/>
      <c r="AD194" s="89"/>
      <c r="AE194" s="89"/>
      <c r="AF194" s="89"/>
      <c r="AG194" s="89"/>
      <c r="AH194" s="89"/>
      <c r="AI194" s="89"/>
      <c r="AJ194" s="89"/>
      <c r="AK194" s="89"/>
      <c r="AL194" s="89"/>
      <c r="AM194" s="89"/>
      <c r="AN194" s="89"/>
      <c r="AO194" s="89"/>
    </row>
    <row r="195" spans="1:41"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89"/>
      <c r="Y195" s="89"/>
      <c r="Z195" s="89"/>
      <c r="AA195" s="89"/>
      <c r="AB195" s="89"/>
      <c r="AC195" s="89"/>
      <c r="AD195" s="89"/>
      <c r="AE195" s="89"/>
      <c r="AF195" s="89"/>
      <c r="AG195" s="89"/>
      <c r="AH195" s="89"/>
      <c r="AI195" s="89"/>
      <c r="AJ195" s="89"/>
      <c r="AK195" s="89"/>
      <c r="AL195" s="89"/>
      <c r="AM195" s="89"/>
      <c r="AN195" s="89"/>
      <c r="AO195" s="89"/>
    </row>
    <row r="196" spans="1:41"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89"/>
      <c r="Y196" s="89"/>
      <c r="Z196" s="89"/>
      <c r="AA196" s="89"/>
      <c r="AB196" s="89"/>
      <c r="AC196" s="89"/>
      <c r="AD196" s="89"/>
      <c r="AE196" s="89"/>
      <c r="AF196" s="89"/>
      <c r="AG196" s="89"/>
      <c r="AH196" s="89"/>
      <c r="AI196" s="89"/>
      <c r="AJ196" s="89"/>
      <c r="AK196" s="89"/>
      <c r="AL196" s="89"/>
      <c r="AM196" s="89"/>
      <c r="AN196" s="89"/>
      <c r="AO196" s="89"/>
    </row>
    <row r="197" spans="1:41"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89"/>
      <c r="Y197" s="89"/>
      <c r="Z197" s="89"/>
      <c r="AA197" s="89"/>
      <c r="AB197" s="89"/>
      <c r="AC197" s="89"/>
      <c r="AD197" s="89"/>
      <c r="AE197" s="89"/>
      <c r="AF197" s="89"/>
      <c r="AG197" s="89"/>
      <c r="AH197" s="89"/>
      <c r="AI197" s="89"/>
      <c r="AJ197" s="89"/>
      <c r="AK197" s="89"/>
      <c r="AL197" s="89"/>
      <c r="AM197" s="89"/>
      <c r="AN197" s="89"/>
      <c r="AO197" s="89"/>
    </row>
    <row r="198" spans="1:41"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89"/>
      <c r="Y198" s="89"/>
      <c r="Z198" s="89"/>
      <c r="AA198" s="89"/>
      <c r="AB198" s="89"/>
      <c r="AC198" s="89"/>
      <c r="AD198" s="89"/>
      <c r="AE198" s="89"/>
      <c r="AF198" s="89"/>
      <c r="AG198" s="89"/>
      <c r="AH198" s="89"/>
      <c r="AI198" s="89"/>
      <c r="AJ198" s="89"/>
      <c r="AK198" s="89"/>
      <c r="AL198" s="89"/>
      <c r="AM198" s="89"/>
      <c r="AN198" s="89"/>
      <c r="AO198" s="89"/>
    </row>
    <row r="199" spans="1:41"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89"/>
      <c r="Y199" s="89"/>
      <c r="Z199" s="89"/>
      <c r="AA199" s="89"/>
      <c r="AB199" s="89"/>
      <c r="AC199" s="89"/>
      <c r="AD199" s="89"/>
      <c r="AE199" s="89"/>
      <c r="AF199" s="89"/>
      <c r="AG199" s="89"/>
      <c r="AH199" s="89"/>
      <c r="AI199" s="89"/>
      <c r="AJ199" s="89"/>
      <c r="AK199" s="89"/>
      <c r="AL199" s="89"/>
      <c r="AM199" s="89"/>
      <c r="AN199" s="89"/>
      <c r="AO199" s="89"/>
    </row>
    <row r="200" spans="1:41"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89"/>
      <c r="Y200" s="89"/>
      <c r="Z200" s="89"/>
      <c r="AA200" s="89"/>
      <c r="AB200" s="89"/>
      <c r="AC200" s="89"/>
      <c r="AD200" s="89"/>
      <c r="AE200" s="89"/>
      <c r="AF200" s="89"/>
      <c r="AG200" s="89"/>
      <c r="AH200" s="89"/>
      <c r="AI200" s="89"/>
      <c r="AJ200" s="89"/>
      <c r="AK200" s="89"/>
      <c r="AL200" s="89"/>
      <c r="AM200" s="89"/>
      <c r="AN200" s="89"/>
      <c r="AO200" s="89"/>
    </row>
    <row r="201" spans="1:41"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89"/>
      <c r="Y201" s="89"/>
      <c r="Z201" s="89"/>
      <c r="AA201" s="89"/>
      <c r="AB201" s="89"/>
      <c r="AC201" s="89"/>
      <c r="AD201" s="89"/>
      <c r="AE201" s="89"/>
      <c r="AF201" s="89"/>
      <c r="AG201" s="89"/>
      <c r="AH201" s="89"/>
      <c r="AI201" s="89"/>
      <c r="AJ201" s="89"/>
      <c r="AK201" s="89"/>
      <c r="AL201" s="89"/>
      <c r="AM201" s="89"/>
      <c r="AN201" s="89"/>
      <c r="AO201" s="89"/>
    </row>
    <row r="202" spans="1:41"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89"/>
      <c r="Y202" s="89"/>
      <c r="Z202" s="89"/>
      <c r="AA202" s="89"/>
      <c r="AB202" s="89"/>
      <c r="AC202" s="89"/>
      <c r="AD202" s="89"/>
      <c r="AE202" s="89"/>
      <c r="AF202" s="89"/>
      <c r="AG202" s="89"/>
      <c r="AH202" s="89"/>
      <c r="AI202" s="89"/>
      <c r="AJ202" s="89"/>
      <c r="AK202" s="89"/>
      <c r="AL202" s="89"/>
      <c r="AM202" s="89"/>
      <c r="AN202" s="89"/>
      <c r="AO202" s="89"/>
    </row>
    <row r="203" spans="1:41"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89"/>
      <c r="Y203" s="89"/>
      <c r="Z203" s="89"/>
      <c r="AA203" s="89"/>
      <c r="AB203" s="89"/>
      <c r="AC203" s="89"/>
      <c r="AD203" s="89"/>
      <c r="AE203" s="89"/>
      <c r="AF203" s="89"/>
      <c r="AG203" s="89"/>
      <c r="AH203" s="89"/>
      <c r="AI203" s="89"/>
      <c r="AJ203" s="89"/>
      <c r="AK203" s="89"/>
      <c r="AL203" s="89"/>
      <c r="AM203" s="89"/>
      <c r="AN203" s="89"/>
      <c r="AO203" s="89"/>
    </row>
    <row r="204" spans="1:41"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89"/>
      <c r="Y204" s="89"/>
      <c r="Z204" s="89"/>
      <c r="AA204" s="89"/>
      <c r="AB204" s="89"/>
      <c r="AC204" s="89"/>
      <c r="AD204" s="89"/>
      <c r="AE204" s="89"/>
      <c r="AF204" s="89"/>
      <c r="AG204" s="89"/>
      <c r="AH204" s="89"/>
      <c r="AI204" s="89"/>
      <c r="AJ204" s="89"/>
      <c r="AK204" s="89"/>
      <c r="AL204" s="89"/>
      <c r="AM204" s="89"/>
      <c r="AN204" s="89"/>
      <c r="AO204" s="89"/>
    </row>
    <row r="205" spans="1:41"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89"/>
      <c r="Y205" s="89"/>
      <c r="Z205" s="89"/>
      <c r="AA205" s="89"/>
      <c r="AB205" s="89"/>
      <c r="AC205" s="89"/>
      <c r="AD205" s="89"/>
      <c r="AE205" s="89"/>
      <c r="AF205" s="89"/>
      <c r="AG205" s="89"/>
      <c r="AH205" s="89"/>
      <c r="AI205" s="89"/>
      <c r="AJ205" s="89"/>
      <c r="AK205" s="89"/>
      <c r="AL205" s="89"/>
      <c r="AM205" s="89"/>
      <c r="AN205" s="89"/>
      <c r="AO205" s="89"/>
    </row>
    <row r="206" spans="1:41"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89"/>
      <c r="Y206" s="89"/>
      <c r="Z206" s="89"/>
      <c r="AA206" s="89"/>
      <c r="AB206" s="89"/>
      <c r="AC206" s="89"/>
      <c r="AD206" s="89"/>
      <c r="AE206" s="89"/>
      <c r="AF206" s="89"/>
      <c r="AG206" s="89"/>
      <c r="AH206" s="89"/>
      <c r="AI206" s="89"/>
      <c r="AJ206" s="89"/>
      <c r="AK206" s="89"/>
      <c r="AL206" s="89"/>
      <c r="AM206" s="89"/>
      <c r="AN206" s="89"/>
      <c r="AO206" s="89"/>
    </row>
    <row r="207" spans="1:41"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89"/>
      <c r="Y207" s="89"/>
      <c r="Z207" s="89"/>
      <c r="AA207" s="89"/>
      <c r="AB207" s="89"/>
      <c r="AC207" s="89"/>
      <c r="AD207" s="89"/>
      <c r="AE207" s="89"/>
      <c r="AF207" s="89"/>
      <c r="AG207" s="89"/>
      <c r="AH207" s="89"/>
      <c r="AI207" s="89"/>
      <c r="AJ207" s="89"/>
      <c r="AK207" s="89"/>
      <c r="AL207" s="89"/>
      <c r="AM207" s="89"/>
      <c r="AN207" s="89"/>
      <c r="AO207" s="89"/>
    </row>
    <row r="208" spans="1:41"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89"/>
      <c r="Y208" s="89"/>
      <c r="Z208" s="89"/>
      <c r="AA208" s="89"/>
      <c r="AB208" s="89"/>
      <c r="AC208" s="89"/>
      <c r="AD208" s="89"/>
      <c r="AE208" s="89"/>
      <c r="AF208" s="89"/>
      <c r="AG208" s="89"/>
      <c r="AH208" s="89"/>
      <c r="AI208" s="89"/>
      <c r="AJ208" s="89"/>
      <c r="AK208" s="89"/>
      <c r="AL208" s="89"/>
      <c r="AM208" s="89"/>
      <c r="AN208" s="89"/>
      <c r="AO208" s="89"/>
    </row>
    <row r="209" spans="1:41"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89"/>
      <c r="Y209" s="89"/>
      <c r="Z209" s="89"/>
      <c r="AA209" s="89"/>
      <c r="AB209" s="89"/>
      <c r="AC209" s="89"/>
      <c r="AD209" s="89"/>
      <c r="AE209" s="89"/>
      <c r="AF209" s="89"/>
      <c r="AG209" s="89"/>
      <c r="AH209" s="89"/>
      <c r="AI209" s="89"/>
      <c r="AJ209" s="89"/>
      <c r="AK209" s="89"/>
      <c r="AL209" s="89"/>
      <c r="AM209" s="89"/>
      <c r="AN209" s="89"/>
      <c r="AO209" s="89"/>
    </row>
    <row r="210" spans="1:41"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89"/>
      <c r="Y210" s="89"/>
      <c r="Z210" s="89"/>
      <c r="AA210" s="89"/>
      <c r="AB210" s="89"/>
      <c r="AC210" s="89"/>
      <c r="AD210" s="89"/>
      <c r="AE210" s="89"/>
      <c r="AF210" s="89"/>
      <c r="AG210" s="89"/>
      <c r="AH210" s="89"/>
      <c r="AI210" s="89"/>
      <c r="AJ210" s="89"/>
      <c r="AK210" s="89"/>
      <c r="AL210" s="89"/>
      <c r="AM210" s="89"/>
      <c r="AN210" s="89"/>
      <c r="AO210" s="89"/>
    </row>
    <row r="211" spans="1:41"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89"/>
      <c r="Y211" s="89"/>
      <c r="Z211" s="89"/>
      <c r="AA211" s="89"/>
      <c r="AB211" s="89"/>
      <c r="AC211" s="89"/>
      <c r="AD211" s="89"/>
      <c r="AE211" s="89"/>
      <c r="AF211" s="89"/>
      <c r="AG211" s="89"/>
      <c r="AH211" s="89"/>
      <c r="AI211" s="89"/>
      <c r="AJ211" s="89"/>
      <c r="AK211" s="89"/>
      <c r="AL211" s="89"/>
      <c r="AM211" s="89"/>
      <c r="AN211" s="89"/>
      <c r="AO211" s="89"/>
    </row>
    <row r="212" spans="1:41"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89"/>
      <c r="Y212" s="89"/>
      <c r="Z212" s="89"/>
      <c r="AA212" s="89"/>
      <c r="AB212" s="89"/>
      <c r="AC212" s="89"/>
      <c r="AD212" s="89"/>
      <c r="AE212" s="89"/>
      <c r="AF212" s="89"/>
      <c r="AG212" s="89"/>
      <c r="AH212" s="89"/>
      <c r="AI212" s="89"/>
      <c r="AJ212" s="89"/>
      <c r="AK212" s="89"/>
      <c r="AL212" s="89"/>
      <c r="AM212" s="89"/>
      <c r="AN212" s="89"/>
      <c r="AO212" s="89"/>
    </row>
    <row r="213" spans="1:41"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89"/>
      <c r="Y213" s="89"/>
      <c r="Z213" s="89"/>
      <c r="AA213" s="89"/>
      <c r="AB213" s="89"/>
      <c r="AC213" s="89"/>
      <c r="AD213" s="89"/>
      <c r="AE213" s="89"/>
      <c r="AF213" s="89"/>
      <c r="AG213" s="89"/>
      <c r="AH213" s="89"/>
      <c r="AI213" s="89"/>
      <c r="AJ213" s="89"/>
      <c r="AK213" s="89"/>
      <c r="AL213" s="89"/>
      <c r="AM213" s="89"/>
      <c r="AN213" s="89"/>
      <c r="AO213" s="89"/>
    </row>
    <row r="214" spans="1:41"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89"/>
      <c r="Y214" s="89"/>
      <c r="Z214" s="89"/>
      <c r="AA214" s="89"/>
      <c r="AB214" s="89"/>
      <c r="AC214" s="89"/>
      <c r="AD214" s="89"/>
      <c r="AE214" s="89"/>
      <c r="AF214" s="89"/>
      <c r="AG214" s="89"/>
      <c r="AH214" s="89"/>
      <c r="AI214" s="89"/>
      <c r="AJ214" s="89"/>
      <c r="AK214" s="89"/>
      <c r="AL214" s="89"/>
      <c r="AM214" s="89"/>
      <c r="AN214" s="89"/>
      <c r="AO214" s="89"/>
    </row>
    <row r="215" spans="1:41"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89"/>
      <c r="Y215" s="89"/>
      <c r="Z215" s="89"/>
      <c r="AA215" s="89"/>
      <c r="AB215" s="89"/>
      <c r="AC215" s="89"/>
      <c r="AD215" s="89"/>
      <c r="AE215" s="89"/>
      <c r="AF215" s="89"/>
      <c r="AG215" s="89"/>
      <c r="AH215" s="89"/>
      <c r="AI215" s="89"/>
      <c r="AJ215" s="89"/>
      <c r="AK215" s="89"/>
      <c r="AL215" s="89"/>
      <c r="AM215" s="89"/>
      <c r="AN215" s="89"/>
      <c r="AO215" s="89"/>
    </row>
    <row r="216" spans="1:41"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89"/>
      <c r="Y216" s="89"/>
      <c r="Z216" s="89"/>
      <c r="AA216" s="89"/>
      <c r="AB216" s="89"/>
      <c r="AC216" s="89"/>
      <c r="AD216" s="89"/>
      <c r="AE216" s="89"/>
      <c r="AF216" s="89"/>
      <c r="AG216" s="89"/>
      <c r="AH216" s="89"/>
      <c r="AI216" s="89"/>
      <c r="AJ216" s="89"/>
      <c r="AK216" s="89"/>
      <c r="AL216" s="89"/>
      <c r="AM216" s="89"/>
      <c r="AN216" s="89"/>
      <c r="AO216" s="89"/>
    </row>
    <row r="217" spans="1:41"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89"/>
      <c r="Y217" s="89"/>
      <c r="Z217" s="89"/>
      <c r="AA217" s="89"/>
      <c r="AB217" s="89"/>
      <c r="AC217" s="89"/>
      <c r="AD217" s="89"/>
      <c r="AE217" s="89"/>
      <c r="AF217" s="89"/>
      <c r="AG217" s="89"/>
      <c r="AH217" s="89"/>
      <c r="AI217" s="89"/>
      <c r="AJ217" s="89"/>
      <c r="AK217" s="89"/>
      <c r="AL217" s="89"/>
      <c r="AM217" s="89"/>
      <c r="AN217" s="89"/>
      <c r="AO217" s="89"/>
    </row>
    <row r="218" spans="1:41"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89"/>
      <c r="Y218" s="89"/>
      <c r="Z218" s="89"/>
      <c r="AA218" s="89"/>
      <c r="AB218" s="89"/>
      <c r="AC218" s="89"/>
      <c r="AD218" s="89"/>
      <c r="AE218" s="89"/>
      <c r="AF218" s="89"/>
      <c r="AG218" s="89"/>
      <c r="AH218" s="89"/>
      <c r="AI218" s="89"/>
      <c r="AJ218" s="89"/>
      <c r="AK218" s="89"/>
      <c r="AL218" s="89"/>
      <c r="AM218" s="89"/>
      <c r="AN218" s="89"/>
      <c r="AO218" s="89"/>
    </row>
    <row r="219" spans="1:41"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89"/>
      <c r="Y219" s="89"/>
      <c r="Z219" s="89"/>
      <c r="AA219" s="89"/>
      <c r="AB219" s="89"/>
      <c r="AC219" s="89"/>
      <c r="AD219" s="89"/>
      <c r="AE219" s="89"/>
      <c r="AF219" s="89"/>
      <c r="AG219" s="89"/>
      <c r="AH219" s="89"/>
      <c r="AI219" s="89"/>
      <c r="AJ219" s="89"/>
      <c r="AK219" s="89"/>
      <c r="AL219" s="89"/>
      <c r="AM219" s="89"/>
      <c r="AN219" s="89"/>
      <c r="AO219" s="89"/>
    </row>
    <row r="220" spans="1:41"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89"/>
      <c r="Y220" s="89"/>
      <c r="Z220" s="89"/>
      <c r="AA220" s="89"/>
      <c r="AB220" s="89"/>
      <c r="AC220" s="89"/>
      <c r="AD220" s="89"/>
      <c r="AE220" s="89"/>
      <c r="AF220" s="89"/>
      <c r="AG220" s="89"/>
      <c r="AH220" s="89"/>
      <c r="AI220" s="89"/>
      <c r="AJ220" s="89"/>
      <c r="AK220" s="89"/>
      <c r="AL220" s="89"/>
      <c r="AM220" s="89"/>
      <c r="AN220" s="89"/>
      <c r="AO220" s="89"/>
    </row>
    <row r="221" spans="1:41"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89"/>
      <c r="Y221" s="89"/>
      <c r="Z221" s="89"/>
      <c r="AA221" s="89"/>
      <c r="AB221" s="89"/>
      <c r="AC221" s="89"/>
      <c r="AD221" s="89"/>
      <c r="AE221" s="89"/>
      <c r="AF221" s="89"/>
      <c r="AG221" s="89"/>
      <c r="AH221" s="89"/>
      <c r="AI221" s="89"/>
      <c r="AJ221" s="89"/>
      <c r="AK221" s="89"/>
      <c r="AL221" s="89"/>
      <c r="AM221" s="89"/>
      <c r="AN221" s="89"/>
      <c r="AO221" s="89"/>
    </row>
    <row r="222" spans="1:41"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89"/>
      <c r="Y222" s="89"/>
      <c r="Z222" s="89"/>
      <c r="AA222" s="89"/>
      <c r="AB222" s="89"/>
      <c r="AC222" s="89"/>
      <c r="AD222" s="89"/>
      <c r="AE222" s="89"/>
      <c r="AF222" s="89"/>
      <c r="AG222" s="89"/>
      <c r="AH222" s="89"/>
      <c r="AI222" s="89"/>
      <c r="AJ222" s="89"/>
      <c r="AK222" s="89"/>
      <c r="AL222" s="89"/>
      <c r="AM222" s="89"/>
      <c r="AN222" s="89"/>
      <c r="AO222" s="89"/>
    </row>
    <row r="223" spans="1:41"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89"/>
      <c r="Y223" s="89"/>
      <c r="Z223" s="89"/>
      <c r="AA223" s="89"/>
      <c r="AB223" s="89"/>
      <c r="AC223" s="89"/>
      <c r="AD223" s="89"/>
      <c r="AE223" s="89"/>
      <c r="AF223" s="89"/>
      <c r="AG223" s="89"/>
      <c r="AH223" s="89"/>
      <c r="AI223" s="89"/>
      <c r="AJ223" s="89"/>
      <c r="AK223" s="89"/>
      <c r="AL223" s="89"/>
      <c r="AM223" s="89"/>
      <c r="AN223" s="89"/>
      <c r="AO223" s="89"/>
    </row>
    <row r="224" spans="1:41"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89"/>
      <c r="Y224" s="89"/>
      <c r="Z224" s="89"/>
      <c r="AA224" s="89"/>
      <c r="AB224" s="89"/>
      <c r="AC224" s="89"/>
      <c r="AD224" s="89"/>
      <c r="AE224" s="89"/>
      <c r="AF224" s="89"/>
      <c r="AG224" s="89"/>
      <c r="AH224" s="89"/>
      <c r="AI224" s="89"/>
      <c r="AJ224" s="89"/>
      <c r="AK224" s="89"/>
      <c r="AL224" s="89"/>
      <c r="AM224" s="89"/>
      <c r="AN224" s="89"/>
      <c r="AO224" s="89"/>
    </row>
    <row r="225" spans="1:41"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89"/>
      <c r="Y225" s="89"/>
      <c r="Z225" s="89"/>
      <c r="AA225" s="89"/>
      <c r="AB225" s="89"/>
      <c r="AC225" s="89"/>
      <c r="AD225" s="89"/>
      <c r="AE225" s="89"/>
      <c r="AF225" s="89"/>
      <c r="AG225" s="89"/>
      <c r="AH225" s="89"/>
      <c r="AI225" s="89"/>
      <c r="AJ225" s="89"/>
      <c r="AK225" s="89"/>
      <c r="AL225" s="89"/>
      <c r="AM225" s="89"/>
      <c r="AN225" s="89"/>
      <c r="AO225" s="89"/>
    </row>
    <row r="226" spans="1:41"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89"/>
      <c r="Y226" s="89"/>
      <c r="Z226" s="89"/>
      <c r="AA226" s="89"/>
      <c r="AB226" s="89"/>
      <c r="AC226" s="89"/>
      <c r="AD226" s="89"/>
      <c r="AE226" s="89"/>
      <c r="AF226" s="89"/>
      <c r="AG226" s="89"/>
      <c r="AH226" s="89"/>
      <c r="AI226" s="89"/>
      <c r="AJ226" s="89"/>
      <c r="AK226" s="89"/>
      <c r="AL226" s="89"/>
      <c r="AM226" s="89"/>
      <c r="AN226" s="89"/>
      <c r="AO226" s="89"/>
    </row>
    <row r="227" spans="1:41"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89"/>
      <c r="Y227" s="89"/>
      <c r="Z227" s="89"/>
      <c r="AA227" s="89"/>
      <c r="AB227" s="89"/>
      <c r="AC227" s="89"/>
      <c r="AD227" s="89"/>
      <c r="AE227" s="89"/>
      <c r="AF227" s="89"/>
      <c r="AG227" s="89"/>
      <c r="AH227" s="89"/>
      <c r="AI227" s="89"/>
      <c r="AJ227" s="89"/>
      <c r="AK227" s="89"/>
      <c r="AL227" s="89"/>
      <c r="AM227" s="89"/>
      <c r="AN227" s="89"/>
      <c r="AO227" s="89"/>
    </row>
    <row r="228" spans="1:41"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89"/>
      <c r="Y228" s="89"/>
      <c r="Z228" s="89"/>
      <c r="AA228" s="89"/>
      <c r="AB228" s="89"/>
      <c r="AC228" s="89"/>
      <c r="AD228" s="89"/>
      <c r="AE228" s="89"/>
      <c r="AF228" s="89"/>
      <c r="AG228" s="89"/>
      <c r="AH228" s="89"/>
      <c r="AI228" s="89"/>
      <c r="AJ228" s="89"/>
      <c r="AK228" s="89"/>
      <c r="AL228" s="89"/>
      <c r="AM228" s="89"/>
      <c r="AN228" s="89"/>
      <c r="AO228" s="89"/>
    </row>
    <row r="229" spans="1:41"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89"/>
      <c r="Y229" s="89"/>
      <c r="Z229" s="89"/>
      <c r="AA229" s="89"/>
      <c r="AB229" s="89"/>
      <c r="AC229" s="89"/>
      <c r="AD229" s="89"/>
      <c r="AE229" s="89"/>
      <c r="AF229" s="89"/>
      <c r="AG229" s="89"/>
      <c r="AH229" s="89"/>
      <c r="AI229" s="89"/>
      <c r="AJ229" s="89"/>
      <c r="AK229" s="89"/>
      <c r="AL229" s="89"/>
      <c r="AM229" s="89"/>
      <c r="AN229" s="89"/>
      <c r="AO229" s="89"/>
    </row>
    <row r="230" spans="1:41"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89"/>
      <c r="Y230" s="89"/>
      <c r="Z230" s="89"/>
      <c r="AA230" s="89"/>
      <c r="AB230" s="89"/>
      <c r="AC230" s="89"/>
      <c r="AD230" s="89"/>
      <c r="AE230" s="89"/>
      <c r="AF230" s="89"/>
      <c r="AG230" s="89"/>
      <c r="AH230" s="89"/>
      <c r="AI230" s="89"/>
      <c r="AJ230" s="89"/>
      <c r="AK230" s="89"/>
      <c r="AL230" s="89"/>
      <c r="AM230" s="89"/>
      <c r="AN230" s="89"/>
      <c r="AO230" s="89"/>
    </row>
    <row r="231" spans="1:41"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89"/>
      <c r="Y231" s="89"/>
      <c r="Z231" s="89"/>
      <c r="AA231" s="89"/>
      <c r="AB231" s="89"/>
      <c r="AC231" s="89"/>
      <c r="AD231" s="89"/>
      <c r="AE231" s="89"/>
      <c r="AF231" s="89"/>
      <c r="AG231" s="89"/>
      <c r="AH231" s="89"/>
      <c r="AI231" s="89"/>
      <c r="AJ231" s="89"/>
      <c r="AK231" s="89"/>
      <c r="AL231" s="89"/>
      <c r="AM231" s="89"/>
      <c r="AN231" s="89"/>
      <c r="AO231" s="89"/>
    </row>
    <row r="232" spans="1:41"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89"/>
      <c r="Y232" s="89"/>
      <c r="Z232" s="89"/>
      <c r="AA232" s="89"/>
      <c r="AB232" s="89"/>
      <c r="AC232" s="89"/>
      <c r="AD232" s="89"/>
      <c r="AE232" s="89"/>
      <c r="AF232" s="89"/>
      <c r="AG232" s="89"/>
      <c r="AH232" s="89"/>
      <c r="AI232" s="89"/>
      <c r="AJ232" s="89"/>
      <c r="AK232" s="89"/>
      <c r="AL232" s="89"/>
      <c r="AM232" s="89"/>
      <c r="AN232" s="89"/>
      <c r="AO232" s="89"/>
    </row>
    <row r="233" spans="1:41"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89"/>
      <c r="Y233" s="89"/>
      <c r="Z233" s="89"/>
      <c r="AA233" s="89"/>
      <c r="AB233" s="89"/>
      <c r="AC233" s="89"/>
      <c r="AD233" s="89"/>
      <c r="AE233" s="89"/>
      <c r="AF233" s="89"/>
      <c r="AG233" s="89"/>
      <c r="AH233" s="89"/>
      <c r="AI233" s="89"/>
      <c r="AJ233" s="89"/>
      <c r="AK233" s="89"/>
      <c r="AL233" s="89"/>
      <c r="AM233" s="89"/>
      <c r="AN233" s="89"/>
      <c r="AO233" s="89"/>
    </row>
    <row r="234" spans="1:41"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89"/>
      <c r="Y234" s="89"/>
      <c r="Z234" s="89"/>
      <c r="AA234" s="89"/>
      <c r="AB234" s="89"/>
      <c r="AC234" s="89"/>
      <c r="AD234" s="89"/>
      <c r="AE234" s="89"/>
      <c r="AF234" s="89"/>
      <c r="AG234" s="89"/>
      <c r="AH234" s="89"/>
      <c r="AI234" s="89"/>
      <c r="AJ234" s="89"/>
      <c r="AK234" s="89"/>
      <c r="AL234" s="89"/>
      <c r="AM234" s="89"/>
      <c r="AN234" s="89"/>
      <c r="AO234" s="89"/>
    </row>
    <row r="235" spans="1:41"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89"/>
      <c r="Y235" s="89"/>
      <c r="Z235" s="89"/>
      <c r="AA235" s="89"/>
      <c r="AB235" s="89"/>
      <c r="AC235" s="89"/>
      <c r="AD235" s="89"/>
      <c r="AE235" s="89"/>
      <c r="AF235" s="89"/>
      <c r="AG235" s="89"/>
      <c r="AH235" s="89"/>
      <c r="AI235" s="89"/>
      <c r="AJ235" s="89"/>
      <c r="AK235" s="89"/>
      <c r="AL235" s="89"/>
      <c r="AM235" s="89"/>
      <c r="AN235" s="89"/>
      <c r="AO235" s="89"/>
    </row>
    <row r="236" spans="1:41"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89"/>
      <c r="Y236" s="89"/>
      <c r="Z236" s="89"/>
      <c r="AA236" s="89"/>
      <c r="AB236" s="89"/>
      <c r="AC236" s="89"/>
      <c r="AD236" s="89"/>
      <c r="AE236" s="89"/>
      <c r="AF236" s="89"/>
      <c r="AG236" s="89"/>
      <c r="AH236" s="89"/>
      <c r="AI236" s="89"/>
      <c r="AJ236" s="89"/>
      <c r="AK236" s="89"/>
      <c r="AL236" s="89"/>
      <c r="AM236" s="89"/>
      <c r="AN236" s="89"/>
      <c r="AO236" s="89"/>
    </row>
    <row r="237" spans="1:41"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89"/>
      <c r="Y237" s="89"/>
      <c r="Z237" s="89"/>
      <c r="AA237" s="89"/>
      <c r="AB237" s="89"/>
      <c r="AC237" s="89"/>
      <c r="AD237" s="89"/>
      <c r="AE237" s="89"/>
      <c r="AF237" s="89"/>
      <c r="AG237" s="89"/>
      <c r="AH237" s="89"/>
      <c r="AI237" s="89"/>
      <c r="AJ237" s="89"/>
      <c r="AK237" s="89"/>
      <c r="AL237" s="89"/>
      <c r="AM237" s="89"/>
      <c r="AN237" s="89"/>
      <c r="AO237" s="89"/>
    </row>
    <row r="238" spans="1:41"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89"/>
      <c r="Y238" s="89"/>
      <c r="Z238" s="89"/>
      <c r="AA238" s="89"/>
      <c r="AB238" s="89"/>
      <c r="AC238" s="89"/>
      <c r="AD238" s="89"/>
      <c r="AE238" s="89"/>
      <c r="AF238" s="89"/>
      <c r="AG238" s="89"/>
      <c r="AH238" s="89"/>
      <c r="AI238" s="89"/>
      <c r="AJ238" s="89"/>
      <c r="AK238" s="89"/>
      <c r="AL238" s="89"/>
      <c r="AM238" s="89"/>
      <c r="AN238" s="89"/>
      <c r="AO238" s="89"/>
    </row>
    <row r="239" spans="1:41"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89"/>
      <c r="Y239" s="89"/>
      <c r="Z239" s="89"/>
      <c r="AA239" s="89"/>
      <c r="AB239" s="89"/>
      <c r="AC239" s="89"/>
      <c r="AD239" s="89"/>
      <c r="AE239" s="89"/>
      <c r="AF239" s="89"/>
      <c r="AG239" s="89"/>
      <c r="AH239" s="89"/>
      <c r="AI239" s="89"/>
      <c r="AJ239" s="89"/>
      <c r="AK239" s="89"/>
      <c r="AL239" s="89"/>
      <c r="AM239" s="89"/>
      <c r="AN239" s="89"/>
      <c r="AO239" s="89"/>
    </row>
    <row r="240" spans="1:41"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89"/>
      <c r="Y240" s="89"/>
      <c r="Z240" s="89"/>
      <c r="AA240" s="89"/>
      <c r="AB240" s="89"/>
      <c r="AC240" s="89"/>
      <c r="AD240" s="89"/>
      <c r="AE240" s="89"/>
      <c r="AF240" s="89"/>
      <c r="AG240" s="89"/>
      <c r="AH240" s="89"/>
      <c r="AI240" s="89"/>
      <c r="AJ240" s="89"/>
      <c r="AK240" s="89"/>
      <c r="AL240" s="89"/>
      <c r="AM240" s="89"/>
      <c r="AN240" s="89"/>
      <c r="AO240" s="89"/>
    </row>
    <row r="241" spans="1:41"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89"/>
      <c r="Y241" s="89"/>
      <c r="Z241" s="89"/>
      <c r="AA241" s="89"/>
      <c r="AB241" s="89"/>
      <c r="AC241" s="89"/>
      <c r="AD241" s="89"/>
      <c r="AE241" s="89"/>
      <c r="AF241" s="89"/>
      <c r="AG241" s="89"/>
      <c r="AH241" s="89"/>
      <c r="AI241" s="89"/>
      <c r="AJ241" s="89"/>
      <c r="AK241" s="89"/>
      <c r="AL241" s="89"/>
      <c r="AM241" s="89"/>
      <c r="AN241" s="89"/>
      <c r="AO241" s="89"/>
    </row>
    <row r="242" spans="1:41"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89"/>
      <c r="Y242" s="89"/>
      <c r="Z242" s="89"/>
      <c r="AA242" s="89"/>
      <c r="AB242" s="89"/>
      <c r="AC242" s="89"/>
      <c r="AD242" s="89"/>
      <c r="AE242" s="89"/>
      <c r="AF242" s="89"/>
      <c r="AG242" s="89"/>
      <c r="AH242" s="89"/>
      <c r="AI242" s="89"/>
      <c r="AJ242" s="89"/>
      <c r="AK242" s="89"/>
      <c r="AL242" s="89"/>
      <c r="AM242" s="89"/>
      <c r="AN242" s="89"/>
      <c r="AO242" s="89"/>
    </row>
    <row r="243" spans="1:41"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89"/>
      <c r="Y243" s="89"/>
      <c r="Z243" s="89"/>
      <c r="AA243" s="89"/>
      <c r="AB243" s="89"/>
      <c r="AC243" s="89"/>
      <c r="AD243" s="89"/>
      <c r="AE243" s="89"/>
      <c r="AF243" s="89"/>
      <c r="AG243" s="89"/>
      <c r="AH243" s="89"/>
      <c r="AI243" s="89"/>
      <c r="AJ243" s="89"/>
      <c r="AK243" s="89"/>
      <c r="AL243" s="89"/>
      <c r="AM243" s="89"/>
      <c r="AN243" s="89"/>
      <c r="AO243" s="89"/>
    </row>
    <row r="244" spans="1:41"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89"/>
      <c r="Y244" s="89"/>
      <c r="Z244" s="89"/>
      <c r="AA244" s="89"/>
      <c r="AB244" s="89"/>
      <c r="AC244" s="89"/>
      <c r="AD244" s="89"/>
      <c r="AE244" s="89"/>
      <c r="AF244" s="89"/>
      <c r="AG244" s="89"/>
      <c r="AH244" s="89"/>
      <c r="AI244" s="89"/>
      <c r="AJ244" s="89"/>
      <c r="AK244" s="89"/>
      <c r="AL244" s="89"/>
      <c r="AM244" s="89"/>
      <c r="AN244" s="89"/>
      <c r="AO244" s="89"/>
    </row>
    <row r="245" spans="1:41"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89"/>
      <c r="Y245" s="89"/>
      <c r="Z245" s="89"/>
      <c r="AA245" s="89"/>
      <c r="AB245" s="89"/>
      <c r="AC245" s="89"/>
      <c r="AD245" s="89"/>
      <c r="AE245" s="89"/>
      <c r="AF245" s="89"/>
      <c r="AG245" s="89"/>
      <c r="AH245" s="89"/>
      <c r="AI245" s="89"/>
      <c r="AJ245" s="89"/>
      <c r="AK245" s="89"/>
      <c r="AL245" s="89"/>
      <c r="AM245" s="89"/>
      <c r="AN245" s="89"/>
      <c r="AO245" s="89"/>
    </row>
    <row r="246" spans="1:41"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89"/>
      <c r="Y246" s="89"/>
      <c r="Z246" s="89"/>
      <c r="AA246" s="89"/>
      <c r="AB246" s="89"/>
      <c r="AC246" s="89"/>
      <c r="AD246" s="89"/>
      <c r="AE246" s="89"/>
      <c r="AF246" s="89"/>
      <c r="AG246" s="89"/>
      <c r="AH246" s="89"/>
      <c r="AI246" s="89"/>
      <c r="AJ246" s="89"/>
      <c r="AK246" s="89"/>
      <c r="AL246" s="89"/>
      <c r="AM246" s="89"/>
      <c r="AN246" s="89"/>
      <c r="AO246" s="89"/>
    </row>
    <row r="247" spans="1:41"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89"/>
      <c r="Y247" s="89"/>
      <c r="Z247" s="89"/>
      <c r="AA247" s="89"/>
      <c r="AB247" s="89"/>
      <c r="AC247" s="89"/>
      <c r="AD247" s="89"/>
      <c r="AE247" s="89"/>
      <c r="AF247" s="89"/>
      <c r="AG247" s="89"/>
      <c r="AH247" s="89"/>
      <c r="AI247" s="89"/>
      <c r="AJ247" s="89"/>
      <c r="AK247" s="89"/>
      <c r="AL247" s="89"/>
      <c r="AM247" s="89"/>
      <c r="AN247" s="89"/>
      <c r="AO247" s="89"/>
    </row>
    <row r="248" spans="1:41"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89"/>
      <c r="Y248" s="89"/>
      <c r="Z248" s="89"/>
      <c r="AA248" s="89"/>
      <c r="AB248" s="89"/>
      <c r="AC248" s="89"/>
      <c r="AD248" s="89"/>
      <c r="AE248" s="89"/>
      <c r="AF248" s="89"/>
      <c r="AG248" s="89"/>
      <c r="AH248" s="89"/>
      <c r="AI248" s="89"/>
      <c r="AJ248" s="89"/>
      <c r="AK248" s="89"/>
      <c r="AL248" s="89"/>
      <c r="AM248" s="89"/>
      <c r="AN248" s="89"/>
      <c r="AO248" s="89"/>
    </row>
    <row r="249" spans="1:41"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89"/>
      <c r="Y249" s="89"/>
      <c r="Z249" s="89"/>
      <c r="AA249" s="89"/>
      <c r="AB249" s="89"/>
      <c r="AC249" s="89"/>
      <c r="AD249" s="89"/>
      <c r="AE249" s="89"/>
      <c r="AF249" s="89"/>
      <c r="AG249" s="89"/>
      <c r="AH249" s="89"/>
      <c r="AI249" s="89"/>
      <c r="AJ249" s="89"/>
      <c r="AK249" s="89"/>
      <c r="AL249" s="89"/>
      <c r="AM249" s="89"/>
      <c r="AN249" s="89"/>
      <c r="AO249" s="89"/>
    </row>
    <row r="250" spans="1:41"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89"/>
      <c r="Y250" s="89"/>
      <c r="Z250" s="89"/>
      <c r="AA250" s="89"/>
      <c r="AB250" s="89"/>
      <c r="AC250" s="89"/>
      <c r="AD250" s="89"/>
      <c r="AE250" s="89"/>
      <c r="AF250" s="89"/>
      <c r="AG250" s="89"/>
      <c r="AH250" s="89"/>
      <c r="AI250" s="89"/>
      <c r="AJ250" s="89"/>
      <c r="AK250" s="89"/>
      <c r="AL250" s="89"/>
      <c r="AM250" s="89"/>
      <c r="AN250" s="89"/>
      <c r="AO250" s="89"/>
    </row>
    <row r="251" spans="1:41"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89"/>
      <c r="Y251" s="89"/>
      <c r="Z251" s="89"/>
      <c r="AA251" s="89"/>
      <c r="AB251" s="89"/>
      <c r="AC251" s="89"/>
      <c r="AD251" s="89"/>
      <c r="AE251" s="89"/>
      <c r="AF251" s="89"/>
      <c r="AG251" s="89"/>
      <c r="AH251" s="89"/>
      <c r="AI251" s="89"/>
      <c r="AJ251" s="89"/>
      <c r="AK251" s="89"/>
      <c r="AL251" s="89"/>
      <c r="AM251" s="89"/>
      <c r="AN251" s="89"/>
      <c r="AO251" s="89"/>
    </row>
    <row r="252" spans="1:41"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89"/>
      <c r="Y252" s="89"/>
      <c r="Z252" s="89"/>
      <c r="AA252" s="89"/>
      <c r="AB252" s="89"/>
      <c r="AC252" s="89"/>
      <c r="AD252" s="89"/>
      <c r="AE252" s="89"/>
      <c r="AF252" s="89"/>
      <c r="AG252" s="89"/>
      <c r="AH252" s="89"/>
      <c r="AI252" s="89"/>
      <c r="AJ252" s="89"/>
      <c r="AK252" s="89"/>
      <c r="AL252" s="89"/>
      <c r="AM252" s="89"/>
      <c r="AN252" s="89"/>
      <c r="AO252" s="89"/>
    </row>
    <row r="253" spans="1:41"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89"/>
      <c r="Y253" s="89"/>
      <c r="Z253" s="89"/>
      <c r="AA253" s="89"/>
      <c r="AB253" s="89"/>
      <c r="AC253" s="89"/>
      <c r="AD253" s="89"/>
      <c r="AE253" s="89"/>
      <c r="AF253" s="89"/>
      <c r="AG253" s="89"/>
      <c r="AH253" s="89"/>
      <c r="AI253" s="89"/>
      <c r="AJ253" s="89"/>
      <c r="AK253" s="89"/>
      <c r="AL253" s="89"/>
      <c r="AM253" s="89"/>
      <c r="AN253" s="89"/>
      <c r="AO253" s="89"/>
    </row>
    <row r="254" spans="1:41"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89"/>
      <c r="Y254" s="89"/>
      <c r="Z254" s="89"/>
      <c r="AA254" s="89"/>
      <c r="AB254" s="89"/>
      <c r="AC254" s="89"/>
      <c r="AD254" s="89"/>
      <c r="AE254" s="89"/>
      <c r="AF254" s="89"/>
      <c r="AG254" s="89"/>
      <c r="AH254" s="89"/>
      <c r="AI254" s="89"/>
      <c r="AJ254" s="89"/>
      <c r="AK254" s="89"/>
      <c r="AL254" s="89"/>
      <c r="AM254" s="89"/>
      <c r="AN254" s="89"/>
      <c r="AO254" s="89"/>
    </row>
    <row r="255" spans="1:41"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89"/>
      <c r="Y255" s="89"/>
      <c r="Z255" s="89"/>
      <c r="AA255" s="89"/>
      <c r="AB255" s="89"/>
      <c r="AC255" s="89"/>
      <c r="AD255" s="89"/>
      <c r="AE255" s="89"/>
      <c r="AF255" s="89"/>
      <c r="AG255" s="89"/>
      <c r="AH255" s="89"/>
      <c r="AI255" s="89"/>
      <c r="AJ255" s="89"/>
      <c r="AK255" s="89"/>
      <c r="AL255" s="89"/>
      <c r="AM255" s="89"/>
      <c r="AN255" s="89"/>
      <c r="AO255" s="89"/>
    </row>
    <row r="256" spans="1:41"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89"/>
      <c r="Y256" s="89"/>
      <c r="Z256" s="89"/>
      <c r="AA256" s="89"/>
      <c r="AB256" s="89"/>
      <c r="AC256" s="89"/>
      <c r="AD256" s="89"/>
      <c r="AE256" s="89"/>
      <c r="AF256" s="89"/>
      <c r="AG256" s="89"/>
      <c r="AH256" s="89"/>
      <c r="AI256" s="89"/>
      <c r="AJ256" s="89"/>
      <c r="AK256" s="89"/>
      <c r="AL256" s="89"/>
      <c r="AM256" s="89"/>
      <c r="AN256" s="89"/>
      <c r="AO256" s="89"/>
    </row>
    <row r="257" spans="1:41"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89"/>
      <c r="Y257" s="89"/>
      <c r="Z257" s="89"/>
      <c r="AA257" s="89"/>
      <c r="AB257" s="89"/>
      <c r="AC257" s="89"/>
      <c r="AD257" s="89"/>
      <c r="AE257" s="89"/>
      <c r="AF257" s="89"/>
      <c r="AG257" s="89"/>
      <c r="AH257" s="89"/>
      <c r="AI257" s="89"/>
      <c r="AJ257" s="89"/>
      <c r="AK257" s="89"/>
      <c r="AL257" s="89"/>
      <c r="AM257" s="89"/>
      <c r="AN257" s="89"/>
      <c r="AO257" s="89"/>
    </row>
    <row r="258" spans="1:41"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89"/>
      <c r="Y258" s="89"/>
      <c r="Z258" s="89"/>
      <c r="AA258" s="89"/>
      <c r="AB258" s="89"/>
      <c r="AC258" s="89"/>
      <c r="AD258" s="89"/>
      <c r="AE258" s="89"/>
      <c r="AF258" s="89"/>
      <c r="AG258" s="89"/>
      <c r="AH258" s="89"/>
      <c r="AI258" s="89"/>
      <c r="AJ258" s="89"/>
      <c r="AK258" s="89"/>
      <c r="AL258" s="89"/>
      <c r="AM258" s="89"/>
      <c r="AN258" s="89"/>
      <c r="AO258" s="89"/>
    </row>
    <row r="259" spans="1:41"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89"/>
      <c r="Y259" s="89"/>
      <c r="Z259" s="89"/>
      <c r="AA259" s="89"/>
      <c r="AB259" s="89"/>
      <c r="AC259" s="89"/>
      <c r="AD259" s="89"/>
      <c r="AE259" s="89"/>
      <c r="AF259" s="89"/>
      <c r="AG259" s="89"/>
      <c r="AH259" s="89"/>
      <c r="AI259" s="89"/>
      <c r="AJ259" s="89"/>
      <c r="AK259" s="89"/>
      <c r="AL259" s="89"/>
      <c r="AM259" s="89"/>
      <c r="AN259" s="89"/>
      <c r="AO259" s="89"/>
    </row>
    <row r="260" spans="1:41"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89"/>
      <c r="Y260" s="89"/>
      <c r="Z260" s="89"/>
      <c r="AA260" s="89"/>
      <c r="AB260" s="89"/>
      <c r="AC260" s="89"/>
      <c r="AD260" s="89"/>
      <c r="AE260" s="89"/>
      <c r="AF260" s="89"/>
      <c r="AG260" s="89"/>
      <c r="AH260" s="89"/>
      <c r="AI260" s="89"/>
      <c r="AJ260" s="89"/>
      <c r="AK260" s="89"/>
      <c r="AL260" s="89"/>
      <c r="AM260" s="89"/>
      <c r="AN260" s="89"/>
      <c r="AO260" s="89"/>
    </row>
    <row r="261" spans="1:41"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89"/>
      <c r="Y261" s="89"/>
      <c r="Z261" s="89"/>
      <c r="AA261" s="89"/>
      <c r="AB261" s="89"/>
      <c r="AC261" s="89"/>
      <c r="AD261" s="89"/>
      <c r="AE261" s="89"/>
      <c r="AF261" s="89"/>
      <c r="AG261" s="89"/>
      <c r="AH261" s="89"/>
      <c r="AI261" s="89"/>
      <c r="AJ261" s="89"/>
      <c r="AK261" s="89"/>
      <c r="AL261" s="89"/>
      <c r="AM261" s="89"/>
      <c r="AN261" s="89"/>
      <c r="AO261" s="89"/>
    </row>
    <row r="262" spans="1:41" ht="15.75" customHeight="1"/>
    <row r="263" spans="1:41" ht="15.75" customHeight="1"/>
    <row r="264" spans="1:41" ht="15.75" customHeight="1"/>
    <row r="265" spans="1:41" ht="15.75" customHeight="1"/>
    <row r="266" spans="1:41" ht="15.75" customHeight="1"/>
    <row r="267" spans="1:41" ht="15.75" customHeight="1"/>
    <row r="268" spans="1:41" ht="15.75" customHeight="1"/>
    <row r="269" spans="1:41" ht="15.75" customHeight="1"/>
    <row r="270" spans="1:41" ht="15.75" customHeight="1"/>
    <row r="271" spans="1:41" ht="15.75" customHeight="1"/>
    <row r="272" spans="1:41"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sheetProtection algorithmName="SHA-512" hashValue="qlZh214qxYqs7abVkXl3ttNN9ychcpka2wLGw4PAJRPmvAeax6GauqeWn2QX7H+jbbrBapql4KHwcrBiK1onjA==" saltValue="xg+l3M0bgMeJKYv6vZ0mJA==" spinCount="100000" sheet="1" objects="1" scenarios="1"/>
  <mergeCells count="47">
    <mergeCell ref="B47:B62"/>
    <mergeCell ref="E59:G59"/>
    <mergeCell ref="E61:G61"/>
    <mergeCell ref="E60:G60"/>
    <mergeCell ref="E58:G58"/>
    <mergeCell ref="V4:W7"/>
    <mergeCell ref="P4:R4"/>
    <mergeCell ref="O18:O19"/>
    <mergeCell ref="E19:J19"/>
    <mergeCell ref="J61:L61"/>
    <mergeCell ref="E56:G56"/>
    <mergeCell ref="E57:G57"/>
    <mergeCell ref="J60:L60"/>
    <mergeCell ref="J58:L58"/>
    <mergeCell ref="J59:L59"/>
    <mergeCell ref="B37:B45"/>
    <mergeCell ref="E34:G34"/>
    <mergeCell ref="E33:G33"/>
    <mergeCell ref="O4:O5"/>
    <mergeCell ref="S4:T4"/>
    <mergeCell ref="J34:L34"/>
    <mergeCell ref="E42:L42"/>
    <mergeCell ref="E43:L43"/>
    <mergeCell ref="E39:F39"/>
    <mergeCell ref="E44:L44"/>
    <mergeCell ref="E40:F40"/>
    <mergeCell ref="B4:B10"/>
    <mergeCell ref="B14:B21"/>
    <mergeCell ref="B23:B35"/>
    <mergeCell ref="E20:J20"/>
    <mergeCell ref="E17:J17"/>
    <mergeCell ref="D3:F3"/>
    <mergeCell ref="E26:G26"/>
    <mergeCell ref="J26:L26"/>
    <mergeCell ref="J33:L33"/>
    <mergeCell ref="E32:G32"/>
    <mergeCell ref="J32:L32"/>
    <mergeCell ref="E29:G29"/>
    <mergeCell ref="E30:G30"/>
    <mergeCell ref="E31:G31"/>
    <mergeCell ref="J30:L30"/>
    <mergeCell ref="J31:L31"/>
    <mergeCell ref="E27:G27"/>
    <mergeCell ref="E28:G28"/>
    <mergeCell ref="J27:L27"/>
    <mergeCell ref="J28:L28"/>
    <mergeCell ref="J29:L29"/>
  </mergeCells>
  <dataValidations disablePrompts="1" count="4">
    <dataValidation type="list" allowBlank="1" showErrorMessage="1" sqref="E16" xr:uid="{00000000-0002-0000-0800-000000000000}">
      <formula1>"Yes,No"</formula1>
    </dataValidation>
    <dataValidation type="list" allowBlank="1" showErrorMessage="1" sqref="E18" xr:uid="{00000000-0002-0000-0800-000001000000}">
      <formula1>"Steel,Concrete,Masonry,Light Wood,Heavy Timber"</formula1>
    </dataValidation>
    <dataValidation type="list" allowBlank="1" showErrorMessage="1" sqref="E40" xr:uid="{00000000-0002-0000-0800-000002000000}">
      <formula1>"Measured,Estimated"</formula1>
    </dataValidation>
    <dataValidation type="list" allowBlank="1" showInputMessage="1" showErrorMessage="1" sqref="E54" xr:uid="{159D0196-CA99-4980-A307-1B3D0A6C300D}">
      <formula1>"None,Some,Most,All"</formula1>
    </dataValidation>
  </dataValidations>
  <pageMargins left="0.7" right="0.7" top="0.75" bottom="0.75" header="0" footer="0"/>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AO1000"/>
  <sheetViews>
    <sheetView workbookViewId="0">
      <pane ySplit="3" topLeftCell="A4" activePane="bottomLeft" state="frozen"/>
      <selection pane="bottomLeft" activeCell="E30" sqref="E30"/>
    </sheetView>
  </sheetViews>
  <sheetFormatPr defaultColWidth="14.42578125" defaultRowHeight="15" customHeight="1"/>
  <cols>
    <col min="1" max="1" width="4.140625" customWidth="1"/>
    <col min="2" max="2" width="30.7109375" customWidth="1"/>
    <col min="3" max="3" width="4.7109375" customWidth="1"/>
    <col min="4" max="4" width="40.5703125" customWidth="1"/>
    <col min="5" max="5" width="10.5703125" customWidth="1"/>
    <col min="6" max="13" width="8.7109375" customWidth="1"/>
    <col min="14" max="14" width="3.7109375" customWidth="1"/>
    <col min="15" max="15" width="10.85546875" customWidth="1"/>
    <col min="16" max="16" width="2.42578125" customWidth="1"/>
    <col min="17" max="17" width="8.7109375" customWidth="1"/>
    <col min="18" max="18" width="26.5703125" customWidth="1"/>
    <col min="19" max="19" width="13.42578125" customWidth="1"/>
    <col min="20" max="20" width="3.140625" customWidth="1"/>
    <col min="21" max="21" width="8.7109375" customWidth="1"/>
    <col min="22" max="22" width="32.7109375" customWidth="1"/>
    <col min="23" max="23" width="6.42578125" customWidth="1"/>
  </cols>
  <sheetData>
    <row r="1" spans="1:41" ht="39.75" customHeight="1">
      <c r="A1" s="52" t="s">
        <v>648</v>
      </c>
      <c r="B1" s="52"/>
      <c r="C1" s="52"/>
      <c r="D1" s="52"/>
      <c r="E1" s="17"/>
      <c r="F1" s="17"/>
      <c r="G1" s="17"/>
      <c r="H1" s="17"/>
      <c r="I1" s="17"/>
      <c r="J1" s="17"/>
      <c r="K1" s="17"/>
      <c r="L1" s="17"/>
      <c r="M1" s="17"/>
      <c r="N1" s="17"/>
      <c r="O1" s="17"/>
      <c r="P1" s="17"/>
      <c r="Q1" s="17"/>
      <c r="R1" s="17"/>
      <c r="S1" s="17"/>
      <c r="T1" s="17"/>
      <c r="U1" s="17"/>
      <c r="V1" s="17"/>
      <c r="W1" s="17"/>
      <c r="X1" s="3"/>
      <c r="Y1" s="3"/>
      <c r="Z1" s="3"/>
      <c r="AA1" s="3"/>
      <c r="AB1" s="3"/>
      <c r="AC1" s="3"/>
      <c r="AD1" s="3"/>
      <c r="AE1" s="3"/>
      <c r="AF1" s="3"/>
      <c r="AG1" s="3"/>
      <c r="AH1" s="3"/>
      <c r="AI1" s="3"/>
      <c r="AJ1" s="3"/>
      <c r="AK1" s="3"/>
      <c r="AL1" s="3"/>
      <c r="AM1" s="3"/>
      <c r="AN1" s="3"/>
      <c r="AO1" s="3"/>
    </row>
    <row r="2" spans="1:41" ht="12.7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row>
    <row r="3" spans="1:41" ht="15.75" customHeight="1">
      <c r="A3" s="9"/>
      <c r="B3" s="15" t="s">
        <v>5</v>
      </c>
      <c r="C3" s="9"/>
      <c r="D3" s="849" t="s">
        <v>300</v>
      </c>
      <c r="E3" s="716"/>
      <c r="F3" s="716"/>
      <c r="G3" s="716"/>
      <c r="H3" s="717"/>
      <c r="I3" s="9"/>
      <c r="J3" s="9"/>
      <c r="K3" s="15"/>
      <c r="L3" s="15"/>
      <c r="M3" s="15"/>
      <c r="N3" s="15"/>
      <c r="O3" s="15" t="s">
        <v>9</v>
      </c>
      <c r="P3" s="15"/>
      <c r="Q3" s="15"/>
      <c r="R3" s="15"/>
      <c r="S3" s="15"/>
      <c r="T3" s="15"/>
      <c r="U3" s="15" t="s">
        <v>10</v>
      </c>
      <c r="V3" s="9"/>
      <c r="W3" s="3"/>
      <c r="X3" s="3"/>
      <c r="Y3" s="3"/>
      <c r="Z3" s="3"/>
      <c r="AA3" s="3"/>
      <c r="AB3" s="3"/>
      <c r="AC3" s="3"/>
      <c r="AD3" s="3"/>
      <c r="AE3" s="3"/>
      <c r="AF3" s="3"/>
      <c r="AG3" s="3"/>
      <c r="AH3" s="3"/>
      <c r="AI3" s="3"/>
      <c r="AJ3" s="3"/>
      <c r="AK3" s="3"/>
      <c r="AL3" s="3"/>
      <c r="AM3" s="3"/>
      <c r="AN3" s="3"/>
      <c r="AO3" s="3"/>
    </row>
    <row r="4" spans="1:41">
      <c r="A4" s="3"/>
      <c r="B4" s="914" t="s">
        <v>650</v>
      </c>
      <c r="C4" s="3"/>
      <c r="D4" s="26" t="s">
        <v>651</v>
      </c>
      <c r="E4" s="26"/>
      <c r="F4" s="26"/>
      <c r="G4" s="26"/>
      <c r="H4" s="26"/>
      <c r="I4" s="26"/>
      <c r="J4" s="26"/>
      <c r="K4" s="26"/>
      <c r="L4" s="26"/>
      <c r="M4" s="26"/>
      <c r="N4" s="3"/>
      <c r="O4" s="196" t="s">
        <v>652</v>
      </c>
      <c r="P4" s="196"/>
      <c r="Q4" s="196"/>
      <c r="R4" s="196"/>
      <c r="S4" s="196"/>
      <c r="T4" s="3"/>
      <c r="U4" s="196"/>
      <c r="V4" s="196"/>
      <c r="W4" s="3"/>
      <c r="X4" s="3"/>
      <c r="Y4" s="3"/>
      <c r="Z4" s="3"/>
      <c r="AA4" s="3"/>
      <c r="AB4" s="3"/>
      <c r="AC4" s="3"/>
      <c r="AD4" s="3"/>
      <c r="AE4" s="3"/>
      <c r="AF4" s="3"/>
      <c r="AG4" s="3"/>
      <c r="AH4" s="3"/>
      <c r="AI4" s="3"/>
      <c r="AJ4" s="3"/>
      <c r="AK4" s="3"/>
      <c r="AL4" s="3"/>
      <c r="AM4" s="3"/>
      <c r="AN4" s="3"/>
      <c r="AO4" s="3"/>
    </row>
    <row r="5" spans="1:41">
      <c r="A5" s="3"/>
      <c r="B5" s="800"/>
      <c r="C5" s="3"/>
      <c r="D5" s="27"/>
      <c r="E5" s="27"/>
      <c r="F5" s="27"/>
      <c r="G5" s="27"/>
      <c r="H5" s="27"/>
      <c r="I5" s="27"/>
      <c r="J5" s="27"/>
      <c r="K5" s="27"/>
      <c r="L5" s="27"/>
      <c r="M5" s="27"/>
      <c r="N5" s="3"/>
      <c r="O5" s="196"/>
      <c r="P5" s="196"/>
      <c r="Q5" s="196"/>
      <c r="R5" s="196"/>
      <c r="S5" s="196"/>
      <c r="T5" s="3"/>
      <c r="U5" s="196"/>
      <c r="V5" s="196"/>
      <c r="W5" s="3"/>
      <c r="X5" s="3"/>
      <c r="Y5" s="3"/>
      <c r="Z5" s="3"/>
      <c r="AA5" s="3"/>
      <c r="AB5" s="3"/>
      <c r="AC5" s="3"/>
      <c r="AD5" s="3"/>
      <c r="AE5" s="3"/>
      <c r="AF5" s="3"/>
      <c r="AG5" s="3"/>
      <c r="AH5" s="3"/>
      <c r="AI5" s="3"/>
      <c r="AJ5" s="3"/>
      <c r="AK5" s="3"/>
      <c r="AL5" s="3"/>
      <c r="AM5" s="3"/>
      <c r="AN5" s="3"/>
      <c r="AO5" s="3"/>
    </row>
    <row r="6" spans="1:41">
      <c r="A6" s="3"/>
      <c r="B6" s="800"/>
      <c r="C6" s="3"/>
      <c r="D6" s="27" t="s">
        <v>653</v>
      </c>
      <c r="E6" s="353">
        <v>24500</v>
      </c>
      <c r="F6" s="28" t="s">
        <v>64</v>
      </c>
      <c r="G6" s="28"/>
      <c r="H6" s="28"/>
      <c r="I6" s="28"/>
      <c r="J6" s="28"/>
      <c r="K6" s="28"/>
      <c r="L6" s="28"/>
      <c r="M6" s="28"/>
      <c r="N6" s="3"/>
      <c r="O6" s="196"/>
      <c r="P6" s="196"/>
      <c r="Q6" s="196"/>
      <c r="R6" s="196"/>
      <c r="S6" s="196"/>
      <c r="T6" s="3"/>
      <c r="U6" s="196"/>
      <c r="V6" s="196"/>
      <c r="W6" s="3"/>
      <c r="X6" s="3"/>
      <c r="Y6" s="3"/>
      <c r="Z6" s="3"/>
      <c r="AA6" s="3"/>
      <c r="AB6" s="3"/>
      <c r="AC6" s="3"/>
      <c r="AD6" s="3"/>
      <c r="AE6" s="3"/>
      <c r="AF6" s="3"/>
      <c r="AG6" s="3"/>
      <c r="AH6" s="3"/>
      <c r="AI6" s="3"/>
      <c r="AJ6" s="3"/>
      <c r="AK6" s="3"/>
      <c r="AL6" s="3"/>
      <c r="AM6" s="3"/>
      <c r="AN6" s="3"/>
      <c r="AO6" s="3"/>
    </row>
    <row r="7" spans="1:41">
      <c r="A7" s="3"/>
      <c r="B7" s="800"/>
      <c r="C7" s="3"/>
      <c r="D7" s="27" t="s">
        <v>654</v>
      </c>
      <c r="E7" s="41">
        <f>E6/Introduction!F12</f>
        <v>1</v>
      </c>
      <c r="F7" s="28"/>
      <c r="G7" s="28"/>
      <c r="H7" s="28"/>
      <c r="I7" s="28"/>
      <c r="J7" s="28"/>
      <c r="K7" s="28"/>
      <c r="L7" s="28"/>
      <c r="M7" s="28"/>
      <c r="N7" s="3"/>
      <c r="O7" s="196"/>
      <c r="P7" s="196"/>
      <c r="Q7" s="196"/>
      <c r="R7" s="196"/>
      <c r="S7" s="196"/>
      <c r="T7" s="3"/>
      <c r="U7" s="196"/>
      <c r="V7" s="196"/>
      <c r="W7" s="3"/>
      <c r="X7" s="3"/>
      <c r="Y7" s="3"/>
      <c r="Z7" s="3"/>
      <c r="AA7" s="3"/>
      <c r="AB7" s="3"/>
      <c r="AC7" s="3"/>
      <c r="AD7" s="3"/>
      <c r="AE7" s="3"/>
      <c r="AF7" s="3"/>
      <c r="AG7" s="3"/>
      <c r="AH7" s="3"/>
      <c r="AI7" s="3"/>
      <c r="AJ7" s="3"/>
      <c r="AK7" s="3"/>
      <c r="AL7" s="3"/>
      <c r="AM7" s="3"/>
      <c r="AN7" s="3"/>
      <c r="AO7" s="3"/>
    </row>
    <row r="8" spans="1:41">
      <c r="A8" s="3"/>
      <c r="B8" s="801"/>
      <c r="C8" s="3"/>
      <c r="D8" s="27"/>
      <c r="E8" s="41"/>
      <c r="F8" s="28"/>
      <c r="G8" s="28"/>
      <c r="H8" s="28"/>
      <c r="I8" s="28"/>
      <c r="J8" s="28"/>
      <c r="K8" s="28"/>
      <c r="L8" s="28"/>
      <c r="M8" s="28"/>
      <c r="N8" s="3"/>
      <c r="O8" s="196"/>
      <c r="P8" s="196"/>
      <c r="Q8" s="196"/>
      <c r="R8" s="196"/>
      <c r="S8" s="196"/>
      <c r="T8" s="3"/>
      <c r="U8" s="196"/>
      <c r="V8" s="196"/>
      <c r="W8" s="3"/>
      <c r="X8" s="3"/>
      <c r="Y8" s="3"/>
      <c r="Z8" s="3"/>
      <c r="AA8" s="3"/>
      <c r="AB8" s="3"/>
      <c r="AC8" s="3"/>
      <c r="AD8" s="3"/>
      <c r="AE8" s="3"/>
      <c r="AF8" s="3"/>
      <c r="AG8" s="3"/>
      <c r="AH8" s="3"/>
      <c r="AI8" s="3"/>
      <c r="AJ8" s="3"/>
      <c r="AK8" s="3"/>
      <c r="AL8" s="3"/>
      <c r="AM8" s="3"/>
      <c r="AN8" s="3"/>
      <c r="AO8" s="3"/>
    </row>
    <row r="9" spans="1:41">
      <c r="A9" s="3"/>
      <c r="B9" s="3"/>
      <c r="C9" s="3"/>
      <c r="D9" s="20"/>
      <c r="E9" s="20"/>
      <c r="F9" s="20"/>
      <c r="G9" s="20"/>
      <c r="H9" s="20"/>
      <c r="I9" s="20"/>
      <c r="J9" s="20"/>
      <c r="K9" s="20"/>
      <c r="L9" s="20"/>
      <c r="M9" s="20"/>
      <c r="N9" s="3"/>
      <c r="O9" s="3"/>
      <c r="P9" s="3"/>
      <c r="Q9" s="3"/>
      <c r="R9" s="3"/>
      <c r="S9" s="3"/>
      <c r="T9" s="3"/>
      <c r="U9" s="3"/>
      <c r="V9" s="3"/>
      <c r="W9" s="3"/>
      <c r="X9" s="3"/>
      <c r="Y9" s="3"/>
      <c r="Z9" s="3"/>
      <c r="AA9" s="3"/>
      <c r="AB9" s="3"/>
      <c r="AC9" s="3"/>
      <c r="AD9" s="3"/>
      <c r="AE9" s="3"/>
      <c r="AF9" s="3"/>
      <c r="AG9" s="3"/>
      <c r="AH9" s="3"/>
      <c r="AI9" s="3"/>
      <c r="AJ9" s="3"/>
      <c r="AK9" s="3"/>
      <c r="AL9" s="3"/>
      <c r="AM9" s="3"/>
      <c r="AN9" s="3"/>
      <c r="AO9" s="3"/>
    </row>
    <row r="10" spans="1:41">
      <c r="A10" s="3"/>
      <c r="B10" s="914" t="s">
        <v>655</v>
      </c>
      <c r="C10" s="3"/>
      <c r="D10" s="26" t="s">
        <v>656</v>
      </c>
      <c r="E10" s="26"/>
      <c r="F10" s="26"/>
      <c r="G10" s="26"/>
      <c r="H10" s="26"/>
      <c r="I10" s="26"/>
      <c r="J10" s="26"/>
      <c r="K10" s="26"/>
      <c r="L10" s="26"/>
      <c r="M10" s="26"/>
      <c r="N10" s="3"/>
      <c r="O10" s="197" t="s">
        <v>658</v>
      </c>
      <c r="P10" s="197"/>
      <c r="Q10" s="197"/>
      <c r="R10" s="197"/>
      <c r="S10" s="197"/>
      <c r="T10" s="3"/>
      <c r="U10" s="196"/>
      <c r="V10" s="196"/>
      <c r="W10" s="3"/>
      <c r="X10" s="3"/>
      <c r="Y10" s="3"/>
      <c r="Z10" s="3"/>
      <c r="AA10" s="3"/>
      <c r="AB10" s="3"/>
      <c r="AC10" s="3"/>
      <c r="AD10" s="3"/>
      <c r="AE10" s="3"/>
      <c r="AF10" s="3"/>
      <c r="AG10" s="3"/>
      <c r="AH10" s="3"/>
      <c r="AI10" s="3"/>
      <c r="AJ10" s="3"/>
      <c r="AK10" s="3"/>
      <c r="AL10" s="3"/>
      <c r="AM10" s="3"/>
      <c r="AN10" s="3"/>
      <c r="AO10" s="3"/>
    </row>
    <row r="11" spans="1:41">
      <c r="A11" s="3"/>
      <c r="B11" s="800"/>
      <c r="C11" s="3"/>
      <c r="D11" s="27"/>
      <c r="E11" s="27"/>
      <c r="F11" s="27"/>
      <c r="G11" s="27"/>
      <c r="H11" s="27"/>
      <c r="I11" s="27"/>
      <c r="J11" s="27"/>
      <c r="K11" s="28"/>
      <c r="L11" s="28"/>
      <c r="M11" s="28"/>
      <c r="N11" s="3"/>
      <c r="O11" s="196">
        <v>0</v>
      </c>
      <c r="P11" s="196"/>
      <c r="Q11" s="196" t="s">
        <v>662</v>
      </c>
      <c r="R11" s="196"/>
      <c r="S11" s="196"/>
      <c r="T11" s="3"/>
      <c r="U11" s="196"/>
      <c r="V11" s="196"/>
      <c r="W11" s="3"/>
      <c r="X11" s="3"/>
      <c r="Y11" s="3"/>
      <c r="Z11" s="3"/>
      <c r="AA11" s="3"/>
      <c r="AB11" s="3"/>
      <c r="AC11" s="3"/>
      <c r="AD11" s="3"/>
      <c r="AE11" s="3"/>
      <c r="AF11" s="3"/>
      <c r="AG11" s="3"/>
      <c r="AH11" s="3"/>
      <c r="AI11" s="3"/>
      <c r="AJ11" s="3"/>
      <c r="AK11" s="3"/>
      <c r="AL11" s="3"/>
      <c r="AM11" s="3"/>
      <c r="AN11" s="3"/>
      <c r="AO11" s="3"/>
    </row>
    <row r="12" spans="1:41">
      <c r="A12" s="3"/>
      <c r="B12" s="800"/>
      <c r="C12" s="3"/>
      <c r="D12" s="27" t="s">
        <v>663</v>
      </c>
      <c r="E12" s="842" t="s">
        <v>932</v>
      </c>
      <c r="F12" s="915"/>
      <c r="G12" s="915"/>
      <c r="H12" s="915"/>
      <c r="I12" s="916"/>
      <c r="J12" s="28"/>
      <c r="K12" s="28"/>
      <c r="L12" s="28"/>
      <c r="M12" s="28"/>
      <c r="N12" s="3"/>
      <c r="O12" s="196">
        <v>1</v>
      </c>
      <c r="P12" s="196"/>
      <c r="Q12" s="196" t="s">
        <v>668</v>
      </c>
      <c r="R12" s="196"/>
      <c r="S12" s="196"/>
      <c r="T12" s="3"/>
      <c r="U12" s="196"/>
      <c r="V12" s="196"/>
      <c r="W12" s="3"/>
      <c r="X12" s="3"/>
      <c r="Y12" s="3"/>
      <c r="Z12" s="3"/>
      <c r="AA12" s="3"/>
      <c r="AB12" s="3"/>
      <c r="AC12" s="3"/>
      <c r="AD12" s="3"/>
      <c r="AE12" s="3"/>
      <c r="AF12" s="3"/>
      <c r="AG12" s="3"/>
      <c r="AH12" s="3"/>
      <c r="AI12" s="3"/>
      <c r="AJ12" s="3"/>
      <c r="AK12" s="3"/>
      <c r="AL12" s="3"/>
      <c r="AM12" s="3"/>
      <c r="AN12" s="3"/>
      <c r="AO12" s="3"/>
    </row>
    <row r="13" spans="1:41">
      <c r="A13" s="3"/>
      <c r="B13" s="800"/>
      <c r="C13" s="3"/>
      <c r="D13" s="27" t="s">
        <v>669</v>
      </c>
      <c r="E13" s="352">
        <f>_xlfn.IFS(E12="not habitable without power",0,E12="Passive survivability",1,E12="Partial back up energy",2,E12="full back up energy",3)</f>
        <v>2</v>
      </c>
      <c r="F13" s="28"/>
      <c r="G13" s="28"/>
      <c r="H13" s="28"/>
      <c r="I13" s="28"/>
      <c r="J13" s="28"/>
      <c r="K13" s="28"/>
      <c r="L13" s="28"/>
      <c r="M13" s="28"/>
      <c r="N13" s="3"/>
      <c r="O13" s="196">
        <v>2</v>
      </c>
      <c r="P13" s="196"/>
      <c r="Q13" s="196" t="s">
        <v>682</v>
      </c>
      <c r="R13" s="196"/>
      <c r="S13" s="196"/>
      <c r="T13" s="3"/>
      <c r="U13" s="196"/>
      <c r="V13" s="196"/>
      <c r="W13" s="3"/>
      <c r="X13" s="3"/>
      <c r="Y13" s="3"/>
      <c r="Z13" s="3"/>
      <c r="AA13" s="3"/>
      <c r="AB13" s="3"/>
      <c r="AC13" s="3"/>
      <c r="AD13" s="3"/>
      <c r="AE13" s="3"/>
      <c r="AF13" s="3"/>
      <c r="AG13" s="3"/>
      <c r="AH13" s="3"/>
      <c r="AI13" s="3"/>
      <c r="AJ13" s="3"/>
      <c r="AK13" s="3"/>
      <c r="AL13" s="3"/>
      <c r="AM13" s="3"/>
      <c r="AN13" s="3"/>
      <c r="AO13" s="3"/>
    </row>
    <row r="14" spans="1:41">
      <c r="A14" s="3"/>
      <c r="B14" s="801"/>
      <c r="C14" s="3"/>
      <c r="D14" s="28"/>
      <c r="E14" s="28"/>
      <c r="F14" s="28"/>
      <c r="G14" s="28"/>
      <c r="H14" s="28"/>
      <c r="I14" s="28"/>
      <c r="J14" s="28"/>
      <c r="K14" s="28"/>
      <c r="L14" s="28"/>
      <c r="M14" s="28"/>
      <c r="N14" s="3"/>
      <c r="O14" s="196">
        <v>3</v>
      </c>
      <c r="P14" s="196"/>
      <c r="Q14" s="196" t="s">
        <v>683</v>
      </c>
      <c r="R14" s="196"/>
      <c r="S14" s="196"/>
      <c r="T14" s="3"/>
      <c r="U14" s="196"/>
      <c r="V14" s="196"/>
      <c r="W14" s="3"/>
      <c r="X14" s="3"/>
      <c r="Y14" s="3"/>
      <c r="Z14" s="3"/>
      <c r="AA14" s="3"/>
      <c r="AB14" s="3"/>
      <c r="AC14" s="3"/>
      <c r="AD14" s="3"/>
      <c r="AE14" s="3"/>
      <c r="AF14" s="3"/>
      <c r="AG14" s="3"/>
      <c r="AH14" s="3"/>
      <c r="AI14" s="3"/>
      <c r="AJ14" s="3"/>
      <c r="AK14" s="3"/>
      <c r="AL14" s="3"/>
      <c r="AM14" s="3"/>
      <c r="AN14" s="3"/>
      <c r="AO14" s="3"/>
    </row>
    <row r="15" spans="1:41">
      <c r="A15" s="3"/>
      <c r="B15" s="3"/>
      <c r="C15" s="3"/>
      <c r="D15" s="20"/>
      <c r="E15" s="20"/>
      <c r="F15" s="20"/>
      <c r="G15" s="20"/>
      <c r="H15" s="20"/>
      <c r="I15" s="20"/>
      <c r="J15" s="20"/>
      <c r="K15" s="20"/>
      <c r="L15" s="20"/>
      <c r="M15" s="20"/>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row>
    <row r="16" spans="1:41">
      <c r="A16" s="3"/>
      <c r="B16" s="914" t="s">
        <v>686</v>
      </c>
      <c r="C16" s="3"/>
      <c r="D16" s="26" t="s">
        <v>687</v>
      </c>
      <c r="E16" s="26"/>
      <c r="F16" s="26"/>
      <c r="G16" s="26"/>
      <c r="H16" s="26"/>
      <c r="I16" s="26"/>
      <c r="J16" s="26"/>
      <c r="K16" s="26"/>
      <c r="L16" s="26"/>
      <c r="M16" s="26"/>
      <c r="N16" s="3"/>
      <c r="O16" s="917" t="s">
        <v>688</v>
      </c>
      <c r="P16" s="839"/>
      <c r="Q16" s="839"/>
      <c r="R16" s="839"/>
      <c r="S16" s="840"/>
      <c r="T16" s="3"/>
      <c r="U16" s="196"/>
      <c r="V16" s="196"/>
      <c r="W16" s="3"/>
      <c r="X16" s="3"/>
      <c r="Y16" s="3"/>
      <c r="Z16" s="3"/>
      <c r="AA16" s="3"/>
      <c r="AB16" s="3"/>
      <c r="AC16" s="3"/>
      <c r="AD16" s="3"/>
      <c r="AE16" s="3"/>
      <c r="AF16" s="3"/>
      <c r="AG16" s="3"/>
      <c r="AH16" s="3"/>
      <c r="AI16" s="3"/>
      <c r="AJ16" s="3"/>
      <c r="AK16" s="3"/>
      <c r="AL16" s="3"/>
      <c r="AM16" s="3"/>
      <c r="AN16" s="3"/>
      <c r="AO16" s="3"/>
    </row>
    <row r="17" spans="1:41">
      <c r="A17" s="3"/>
      <c r="B17" s="800"/>
      <c r="C17" s="3"/>
      <c r="D17" s="27"/>
      <c r="E17" s="27"/>
      <c r="F17" s="27"/>
      <c r="G17" s="27"/>
      <c r="H17" s="28"/>
      <c r="I17" s="28"/>
      <c r="J17" s="28"/>
      <c r="K17" s="28"/>
      <c r="L17" s="28"/>
      <c r="M17" s="28"/>
      <c r="N17" s="3"/>
      <c r="O17" s="198" t="s">
        <v>690</v>
      </c>
      <c r="P17" s="196"/>
      <c r="Q17" s="196" t="s">
        <v>691</v>
      </c>
      <c r="R17" s="196"/>
      <c r="S17" s="196"/>
      <c r="T17" s="3"/>
      <c r="U17" s="196"/>
      <c r="V17" s="196"/>
      <c r="W17" s="3"/>
      <c r="X17" s="3"/>
      <c r="Y17" s="3"/>
      <c r="Z17" s="3"/>
      <c r="AA17" s="3"/>
      <c r="AB17" s="3"/>
      <c r="AC17" s="3"/>
      <c r="AD17" s="3"/>
      <c r="AE17" s="3"/>
      <c r="AF17" s="3"/>
      <c r="AG17" s="3"/>
      <c r="AH17" s="3"/>
      <c r="AI17" s="3"/>
      <c r="AJ17" s="3"/>
      <c r="AK17" s="3"/>
      <c r="AL17" s="3"/>
      <c r="AM17" s="3"/>
      <c r="AN17" s="3"/>
      <c r="AO17" s="3"/>
    </row>
    <row r="18" spans="1:41">
      <c r="A18" s="3"/>
      <c r="B18" s="800"/>
      <c r="C18" s="3"/>
      <c r="D18" s="27" t="s">
        <v>692</v>
      </c>
      <c r="E18" s="354">
        <v>200</v>
      </c>
      <c r="F18" s="28" t="s">
        <v>696</v>
      </c>
      <c r="G18" s="28"/>
      <c r="H18" s="28"/>
      <c r="I18" s="28"/>
      <c r="J18" s="28"/>
      <c r="K18" s="28"/>
      <c r="L18" s="28"/>
      <c r="M18" s="28"/>
      <c r="N18" s="3"/>
      <c r="O18" s="198" t="s">
        <v>697</v>
      </c>
      <c r="P18" s="196"/>
      <c r="Q18" s="196" t="s">
        <v>698</v>
      </c>
      <c r="R18" s="196"/>
      <c r="S18" s="196"/>
      <c r="T18" s="3"/>
      <c r="U18" s="196"/>
      <c r="V18" s="196"/>
      <c r="W18" s="3"/>
      <c r="X18" s="3"/>
      <c r="Y18" s="3"/>
      <c r="Z18" s="3"/>
      <c r="AA18" s="3"/>
      <c r="AB18" s="3"/>
      <c r="AC18" s="3"/>
      <c r="AD18" s="3"/>
      <c r="AE18" s="3"/>
      <c r="AF18" s="3"/>
      <c r="AG18" s="3"/>
      <c r="AH18" s="3"/>
      <c r="AI18" s="3"/>
      <c r="AJ18" s="3"/>
      <c r="AK18" s="3"/>
      <c r="AL18" s="3"/>
      <c r="AM18" s="3"/>
      <c r="AN18" s="3"/>
      <c r="AO18" s="3"/>
    </row>
    <row r="19" spans="1:41">
      <c r="A19" s="3"/>
      <c r="B19" s="800"/>
      <c r="C19" s="3"/>
      <c r="D19" s="27" t="s">
        <v>700</v>
      </c>
      <c r="E19" s="334" t="s">
        <v>933</v>
      </c>
      <c r="F19" s="28"/>
      <c r="G19" s="28"/>
      <c r="H19" s="28"/>
      <c r="I19" s="28"/>
      <c r="J19" s="28"/>
      <c r="K19" s="28"/>
      <c r="L19" s="28"/>
      <c r="M19" s="28"/>
      <c r="N19" s="3"/>
      <c r="O19" s="198" t="s">
        <v>703</v>
      </c>
      <c r="P19" s="196"/>
      <c r="Q19" s="196" t="s">
        <v>705</v>
      </c>
      <c r="R19" s="196"/>
      <c r="S19" s="196"/>
      <c r="T19" s="3"/>
      <c r="U19" s="196"/>
      <c r="V19" s="196"/>
      <c r="W19" s="3"/>
      <c r="X19" s="3"/>
      <c r="Y19" s="3"/>
      <c r="Z19" s="3"/>
      <c r="AA19" s="3"/>
      <c r="AB19" s="3"/>
      <c r="AC19" s="3"/>
      <c r="AD19" s="3"/>
      <c r="AE19" s="3"/>
      <c r="AF19" s="3"/>
      <c r="AG19" s="3"/>
      <c r="AH19" s="3"/>
      <c r="AI19" s="3"/>
      <c r="AJ19" s="3"/>
      <c r="AK19" s="3"/>
      <c r="AL19" s="3"/>
      <c r="AM19" s="3"/>
      <c r="AN19" s="3"/>
      <c r="AO19" s="3"/>
    </row>
    <row r="20" spans="1:41">
      <c r="A20" s="3"/>
      <c r="B20" s="800"/>
      <c r="C20" s="3"/>
      <c r="D20" s="28"/>
      <c r="E20" s="28"/>
      <c r="F20" s="28"/>
      <c r="G20" s="28"/>
      <c r="H20" s="28"/>
      <c r="I20" s="28"/>
      <c r="J20" s="28"/>
      <c r="K20" s="28"/>
      <c r="L20" s="28"/>
      <c r="M20" s="28"/>
      <c r="N20" s="3"/>
      <c r="O20" s="198" t="s">
        <v>707</v>
      </c>
      <c r="P20" s="196"/>
      <c r="Q20" s="196" t="s">
        <v>708</v>
      </c>
      <c r="R20" s="196"/>
      <c r="S20" s="196"/>
      <c r="T20" s="3"/>
      <c r="U20" s="196"/>
      <c r="V20" s="196"/>
      <c r="W20" s="3"/>
      <c r="X20" s="3"/>
      <c r="Y20" s="3"/>
      <c r="Z20" s="3"/>
      <c r="AA20" s="3"/>
      <c r="AB20" s="3"/>
      <c r="AC20" s="3"/>
      <c r="AD20" s="3"/>
      <c r="AE20" s="3"/>
      <c r="AF20" s="3"/>
      <c r="AG20" s="3"/>
      <c r="AH20" s="3"/>
      <c r="AI20" s="3"/>
      <c r="AJ20" s="3"/>
      <c r="AK20" s="3"/>
      <c r="AL20" s="3"/>
      <c r="AM20" s="3"/>
      <c r="AN20" s="3"/>
      <c r="AO20" s="3"/>
    </row>
    <row r="21" spans="1:41" ht="15.75" customHeight="1">
      <c r="A21" s="3"/>
      <c r="B21" s="800"/>
      <c r="C21" s="3"/>
      <c r="D21" s="27" t="s">
        <v>710</v>
      </c>
      <c r="E21" s="904" t="s">
        <v>934</v>
      </c>
      <c r="F21" s="905"/>
      <c r="G21" s="905"/>
      <c r="H21" s="905"/>
      <c r="I21" s="905"/>
      <c r="J21" s="905"/>
      <c r="K21" s="905"/>
      <c r="L21" s="906"/>
      <c r="M21" s="28"/>
      <c r="N21" s="3"/>
      <c r="O21" s="196"/>
      <c r="P21" s="196"/>
      <c r="Q21" s="196"/>
      <c r="R21" s="196"/>
      <c r="S21" s="196"/>
      <c r="T21" s="3"/>
      <c r="U21" s="196"/>
      <c r="V21" s="196"/>
      <c r="W21" s="3"/>
      <c r="X21" s="3"/>
      <c r="Y21" s="3"/>
      <c r="Z21" s="3"/>
      <c r="AA21" s="3"/>
      <c r="AB21" s="3"/>
      <c r="AC21" s="3"/>
      <c r="AD21" s="3"/>
      <c r="AE21" s="3"/>
      <c r="AF21" s="3"/>
      <c r="AG21" s="3"/>
      <c r="AH21" s="3"/>
      <c r="AI21" s="3"/>
      <c r="AJ21" s="3"/>
      <c r="AK21" s="3"/>
      <c r="AL21" s="3"/>
      <c r="AM21" s="3"/>
      <c r="AN21" s="3"/>
      <c r="AO21" s="3"/>
    </row>
    <row r="22" spans="1:41" ht="15.75" customHeight="1">
      <c r="A22" s="3"/>
      <c r="B22" s="800"/>
      <c r="C22" s="3"/>
      <c r="D22" s="27" t="s">
        <v>710</v>
      </c>
      <c r="E22" s="892" t="s">
        <v>935</v>
      </c>
      <c r="F22" s="918"/>
      <c r="G22" s="918"/>
      <c r="H22" s="918"/>
      <c r="I22" s="918"/>
      <c r="J22" s="918"/>
      <c r="K22" s="918"/>
      <c r="L22" s="919"/>
      <c r="M22" s="28"/>
      <c r="N22" s="3"/>
      <c r="O22" s="196" t="s">
        <v>715</v>
      </c>
      <c r="P22" s="196"/>
      <c r="Q22" s="196"/>
      <c r="R22" s="196"/>
      <c r="S22" s="196"/>
      <c r="T22" s="3"/>
      <c r="U22" s="196"/>
      <c r="V22" s="196"/>
      <c r="W22" s="3"/>
      <c r="X22" s="3"/>
      <c r="Y22" s="3"/>
      <c r="Z22" s="3"/>
      <c r="AA22" s="3"/>
      <c r="AB22" s="3"/>
      <c r="AC22" s="3"/>
      <c r="AD22" s="3"/>
      <c r="AE22" s="3"/>
      <c r="AF22" s="3"/>
      <c r="AG22" s="3"/>
      <c r="AH22" s="3"/>
      <c r="AI22" s="3"/>
      <c r="AJ22" s="3"/>
      <c r="AK22" s="3"/>
      <c r="AL22" s="3"/>
      <c r="AM22" s="3"/>
      <c r="AN22" s="3"/>
      <c r="AO22" s="3"/>
    </row>
    <row r="23" spans="1:41" ht="15.75" customHeight="1">
      <c r="A23" s="3"/>
      <c r="B23" s="800"/>
      <c r="C23" s="3"/>
      <c r="D23" s="27" t="s">
        <v>710</v>
      </c>
      <c r="E23" s="892"/>
      <c r="F23" s="918"/>
      <c r="G23" s="918"/>
      <c r="H23" s="918"/>
      <c r="I23" s="918"/>
      <c r="J23" s="918"/>
      <c r="K23" s="918"/>
      <c r="L23" s="919"/>
      <c r="M23" s="28"/>
      <c r="N23" s="3"/>
      <c r="O23" s="196"/>
      <c r="P23" s="196"/>
      <c r="Q23" s="196"/>
      <c r="R23" s="196"/>
      <c r="S23" s="196"/>
      <c r="T23" s="3"/>
      <c r="U23" s="196"/>
      <c r="V23" s="196"/>
      <c r="W23" s="3"/>
      <c r="X23" s="3"/>
      <c r="Y23" s="3"/>
      <c r="Z23" s="3"/>
      <c r="AA23" s="3"/>
      <c r="AB23" s="3"/>
      <c r="AC23" s="3"/>
      <c r="AD23" s="3"/>
      <c r="AE23" s="3"/>
      <c r="AF23" s="3"/>
      <c r="AG23" s="3"/>
      <c r="AH23" s="3"/>
      <c r="AI23" s="3"/>
      <c r="AJ23" s="3"/>
      <c r="AK23" s="3"/>
      <c r="AL23" s="3"/>
      <c r="AM23" s="3"/>
      <c r="AN23" s="3"/>
      <c r="AO23" s="3"/>
    </row>
    <row r="24" spans="1:41" ht="15.75" customHeight="1">
      <c r="A24" s="3"/>
      <c r="B24" s="801"/>
      <c r="C24" s="3"/>
      <c r="D24" s="28"/>
      <c r="E24" s="28"/>
      <c r="F24" s="28"/>
      <c r="G24" s="28"/>
      <c r="H24" s="28"/>
      <c r="I24" s="28"/>
      <c r="J24" s="28"/>
      <c r="K24" s="28"/>
      <c r="L24" s="28"/>
      <c r="M24" s="28"/>
      <c r="N24" s="3"/>
      <c r="O24" s="196"/>
      <c r="P24" s="196"/>
      <c r="Q24" s="196"/>
      <c r="R24" s="196"/>
      <c r="S24" s="196"/>
      <c r="T24" s="3"/>
      <c r="U24" s="196"/>
      <c r="V24" s="196"/>
      <c r="W24" s="3"/>
      <c r="X24" s="3"/>
      <c r="Y24" s="3"/>
      <c r="Z24" s="3"/>
      <c r="AA24" s="3"/>
      <c r="AB24" s="3"/>
      <c r="AC24" s="3"/>
      <c r="AD24" s="3"/>
      <c r="AE24" s="3"/>
      <c r="AF24" s="3"/>
      <c r="AG24" s="3"/>
      <c r="AH24" s="3"/>
      <c r="AI24" s="3"/>
      <c r="AJ24" s="3"/>
      <c r="AK24" s="3"/>
      <c r="AL24" s="3"/>
      <c r="AM24" s="3"/>
      <c r="AN24" s="3"/>
      <c r="AO24" s="3"/>
    </row>
    <row r="25" spans="1:41" ht="15.75"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row>
    <row r="26" spans="1:41" ht="15.7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row>
    <row r="27" spans="1:41" ht="15.7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row>
    <row r="28" spans="1:41" ht="15.7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row>
    <row r="29" spans="1:41" ht="15.7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row>
    <row r="30" spans="1:41" ht="15.7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row>
    <row r="31" spans="1:41" ht="15.75"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row>
    <row r="32" spans="1:41" ht="15.7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row>
    <row r="33" spans="1:41" ht="15.7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row>
    <row r="34" spans="1:41" ht="15.75"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row>
    <row r="35" spans="1:41" ht="15.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row>
    <row r="36" spans="1:41" ht="15.7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row>
    <row r="37" spans="1:41" ht="15.7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row>
    <row r="38" spans="1:41" ht="15.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row>
    <row r="39" spans="1:41" ht="15.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row>
    <row r="40" spans="1:41" ht="15.7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row>
    <row r="41" spans="1:41" ht="15.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row>
    <row r="42" spans="1:41" ht="15.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row>
    <row r="43" spans="1:41" ht="15.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row>
    <row r="44" spans="1:41" ht="15.7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row>
    <row r="45" spans="1:41" ht="15.7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row>
    <row r="46" spans="1:41" ht="15.7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row>
    <row r="47" spans="1:41" ht="15.7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row>
    <row r="48" spans="1:41" ht="15.7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row>
    <row r="49" spans="1:41" ht="15.7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row>
    <row r="50" spans="1:41" ht="15.7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row>
    <row r="51" spans="1:41" ht="15.7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row>
    <row r="52" spans="1:41" ht="15.7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row>
    <row r="53" spans="1:41" ht="15.7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row>
    <row r="54" spans="1:41" ht="15.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row>
    <row r="55" spans="1:41" ht="15.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row>
    <row r="56" spans="1:41" ht="15.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row>
    <row r="57" spans="1:41" ht="15.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row>
    <row r="58" spans="1:41" ht="15.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row>
    <row r="59" spans="1:41" ht="15.7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row>
    <row r="60" spans="1:41" ht="15.7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spans="1:41" ht="15.7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1:41" ht="15.7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1:41" ht="15.7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row r="64" spans="1:41" ht="15.7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row>
    <row r="65" spans="1:41"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row>
    <row r="66" spans="1:41"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row>
    <row r="67" spans="1:41"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row>
    <row r="68" spans="1:41"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row>
    <row r="69" spans="1:41"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row>
    <row r="70" spans="1:41"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row>
    <row r="71" spans="1:41"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row>
    <row r="72" spans="1:41"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row>
    <row r="73" spans="1:41"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row>
    <row r="74" spans="1:41"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row>
    <row r="75" spans="1:41"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row>
    <row r="76" spans="1:41"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row>
    <row r="77" spans="1:41"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row>
    <row r="78" spans="1:41"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row>
    <row r="79" spans="1:41"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row>
    <row r="80" spans="1:41"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row>
    <row r="81" spans="1:41"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row>
    <row r="82" spans="1:41"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row>
    <row r="83" spans="1:41"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row>
    <row r="84" spans="1:41"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row>
    <row r="85" spans="1:41"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row>
    <row r="86" spans="1:41"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row>
    <row r="87" spans="1:41"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row>
    <row r="88" spans="1:41"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row>
    <row r="89" spans="1:41"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row>
    <row r="90" spans="1:41"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row>
    <row r="91" spans="1:41"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row>
    <row r="92" spans="1:41"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row>
    <row r="93" spans="1:41"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row>
    <row r="94" spans="1:41"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row>
    <row r="95" spans="1:41"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row>
    <row r="96" spans="1:41"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row>
    <row r="97" spans="1:41"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row>
    <row r="98" spans="1:41"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row>
    <row r="99" spans="1:41"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row>
    <row r="100" spans="1:41"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row>
    <row r="101" spans="1:41"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row>
    <row r="102" spans="1:41"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row>
    <row r="103" spans="1:41"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row>
    <row r="104" spans="1:41"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row>
    <row r="105" spans="1:41"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row>
    <row r="106" spans="1:41"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row>
    <row r="107" spans="1:41"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row>
    <row r="108" spans="1:41"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row>
    <row r="109" spans="1:41"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row>
    <row r="110" spans="1:41"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row>
    <row r="111" spans="1:41"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row>
    <row r="112" spans="1:41"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row>
    <row r="113" spans="1:41"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row>
    <row r="114" spans="1:41"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row>
    <row r="115" spans="1:41"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row>
    <row r="116" spans="1:41"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row>
    <row r="117" spans="1:41"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row>
    <row r="118" spans="1:41"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row>
    <row r="119" spans="1:41"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row>
    <row r="120" spans="1:41"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row>
    <row r="121" spans="1:41"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row>
    <row r="122" spans="1:41"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row>
    <row r="123" spans="1:41"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row>
    <row r="124" spans="1:41"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row>
    <row r="125" spans="1:41"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row>
    <row r="126" spans="1:41"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row>
    <row r="127" spans="1:41"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row>
    <row r="128" spans="1:41"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row>
    <row r="129" spans="1:41"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row>
    <row r="130" spans="1:41"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row>
    <row r="131" spans="1:41"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row>
    <row r="132" spans="1:41"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row>
    <row r="133" spans="1:41"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row>
    <row r="134" spans="1:41"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row>
    <row r="135" spans="1:41"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row>
    <row r="136" spans="1:41"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row>
    <row r="137" spans="1:41"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row>
    <row r="138" spans="1:41"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row>
    <row r="139" spans="1:41"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row>
    <row r="140" spans="1:41"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row>
    <row r="141" spans="1:41"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row>
    <row r="142" spans="1:41"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row>
    <row r="143" spans="1:41"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row>
    <row r="144" spans="1:41"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row>
    <row r="145" spans="1:41"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row>
    <row r="146" spans="1:41"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row>
    <row r="147" spans="1:41"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row>
    <row r="148" spans="1:41"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row>
    <row r="149" spans="1:41"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row>
    <row r="150" spans="1:41"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row>
    <row r="151" spans="1:41"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row>
    <row r="152" spans="1:41"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row>
    <row r="153" spans="1:41"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row>
    <row r="154" spans="1:41"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row>
    <row r="155" spans="1:41"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row>
    <row r="156" spans="1:41"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row>
    <row r="157" spans="1:41"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row>
    <row r="158" spans="1:41"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row>
    <row r="159" spans="1:41"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row>
    <row r="160" spans="1:41"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row>
    <row r="161" spans="1:41"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row>
    <row r="162" spans="1:41"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row>
    <row r="163" spans="1:41"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row>
    <row r="164" spans="1:41"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row>
    <row r="165" spans="1:41"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row>
    <row r="166" spans="1:41"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row>
    <row r="167" spans="1:41"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row>
    <row r="168" spans="1:41"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row>
    <row r="169" spans="1:41"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row>
    <row r="170" spans="1:41"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row>
    <row r="171" spans="1:41"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row>
    <row r="172" spans="1:41"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row>
    <row r="173" spans="1:41"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row>
    <row r="174" spans="1:41"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row>
    <row r="175" spans="1:41"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row>
    <row r="176" spans="1:41"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row>
    <row r="177" spans="1:41"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row>
    <row r="178" spans="1:41"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row>
    <row r="179" spans="1:41"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row>
    <row r="180" spans="1:41"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row>
    <row r="181" spans="1:41"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row>
    <row r="182" spans="1:41"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row>
    <row r="183" spans="1:41"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row>
    <row r="184" spans="1:41"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row>
    <row r="185" spans="1:41"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row>
    <row r="186" spans="1:41"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row>
    <row r="187" spans="1:41"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row>
    <row r="188" spans="1:41"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row>
    <row r="189" spans="1:41"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row>
    <row r="190" spans="1:41"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row>
    <row r="191" spans="1:41"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row>
    <row r="192" spans="1:41"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row>
    <row r="193" spans="1:41"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row>
    <row r="194" spans="1:41"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row>
    <row r="195" spans="1:41"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row>
    <row r="196" spans="1:41"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row>
    <row r="197" spans="1:41"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row>
    <row r="198" spans="1:41"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row>
    <row r="199" spans="1:41"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row>
    <row r="200" spans="1:41"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row>
    <row r="201" spans="1:41"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row>
    <row r="202" spans="1:41"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row>
    <row r="203" spans="1:41"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row>
    <row r="204" spans="1:41"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row>
    <row r="205" spans="1:41"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row>
    <row r="206" spans="1:41"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row>
    <row r="207" spans="1:41"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row>
    <row r="208" spans="1:41"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row>
    <row r="209" spans="1:41"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row>
    <row r="210" spans="1:41"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row>
    <row r="211" spans="1:41"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row>
    <row r="212" spans="1:41"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row>
    <row r="213" spans="1:41"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row>
    <row r="214" spans="1:41"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row>
    <row r="215" spans="1:41"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row>
    <row r="216" spans="1:41"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row>
    <row r="217" spans="1:41"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row>
    <row r="218" spans="1:41"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row>
    <row r="219" spans="1:41"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row>
    <row r="220" spans="1:41"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row>
    <row r="221" spans="1:41"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row>
    <row r="222" spans="1:41"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row>
    <row r="223" spans="1:41"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row>
    <row r="224" spans="1:41"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YLdwFOUhqgUyllsTMcLR0ZKCoHHIW3m8n3H/TLlIQ0B33Lyl71DK48R6tigNr9y8So/O/xg0QHA80S3VA4iGLg==" saltValue="gGAhySSEl4C92L6kKCJGOQ==" spinCount="100000" sheet="1" objects="1" scenarios="1"/>
  <mergeCells count="9">
    <mergeCell ref="E23:L23"/>
    <mergeCell ref="B10:B14"/>
    <mergeCell ref="B16:B24"/>
    <mergeCell ref="B4:B8"/>
    <mergeCell ref="D3:H3"/>
    <mergeCell ref="E12:I12"/>
    <mergeCell ref="O16:S16"/>
    <mergeCell ref="E22:L22"/>
    <mergeCell ref="E21:L21"/>
  </mergeCells>
  <dataValidations count="2">
    <dataValidation type="list" allowBlank="1" showErrorMessage="1" sqref="E19" xr:uid="{00000000-0002-0000-0900-000000000000}">
      <formula1>"Yes,No,Partially"</formula1>
    </dataValidation>
    <dataValidation type="list" allowBlank="1" showErrorMessage="1" sqref="E12" xr:uid="{00000000-0002-0000-0900-000001000000}">
      <formula1>"Not habitable without power,Passive survivability,Partial back up energy,Full back up energy"</formula1>
    </dataValidation>
  </dataValidation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Introduction</vt:lpstr>
      <vt:lpstr>2 - Community</vt:lpstr>
      <vt:lpstr>3 - Ecology</vt:lpstr>
      <vt:lpstr>4 - Water</vt:lpstr>
      <vt:lpstr>5 - Economy</vt:lpstr>
      <vt:lpstr>6 - Energy</vt:lpstr>
      <vt:lpstr>7 - Wellness</vt:lpstr>
      <vt:lpstr>8 - Resources</vt:lpstr>
      <vt:lpstr>9 - Change</vt:lpstr>
      <vt:lpstr>10 - Discovery</vt:lpstr>
      <vt:lpstr>Summary</vt:lpstr>
      <vt:lpstr>Results</vt:lpstr>
      <vt:lpstr>Reference Information</vt:lpstr>
      <vt:lpstr>Even_passive_occupants_are_presented_with_performance_feedback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Helena Zambrano;Corey Squire</dc:creator>
  <cp:lastModifiedBy>Taylor, Christian</cp:lastModifiedBy>
  <dcterms:created xsi:type="dcterms:W3CDTF">2018-07-31T13:39:46Z</dcterms:created>
  <dcterms:modified xsi:type="dcterms:W3CDTF">2019-01-31T15:44:30Z</dcterms:modified>
  <cp:contentStatus/>
</cp:coreProperties>
</file>